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defaultThemeVersion="124226"/>
  <bookViews>
    <workbookView xWindow="-105" yWindow="-105" windowWidth="20640" windowHeight="11760" tabRatio="706" activeTab="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state="hidden" r:id="rId11"/>
    <sheet name="11.F&amp;V Crop Production details" sheetId="83" r:id="rId12"/>
    <sheet name="12.Facility 1 - Trading" sheetId="55" r:id="rId13"/>
    <sheet name="13.Facility 2 Grain Processing" sheetId="72" r:id="rId14"/>
    <sheet name="14. Facility 3 Warehouse" sheetId="42" state="hidden" r:id="rId15"/>
    <sheet name="15. Facility 4 Custom Hiring" sheetId="48" state="hidden" r:id="rId16"/>
    <sheet name="16.Facility 5 Agri Input" sheetId="53" state="hidden"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details'!$A$1:$Z$134</definedName>
    <definedName name="_xlnm.Print_Area" localSheetId="12">'12.Facility 1 - Trading'!$A$1:$J$113</definedName>
    <definedName name="_xlnm.Print_Area" localSheetId="13">'13.Facility 2 Grain Processing'!$A$3:$J$187</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'!$A$1:$J$184</definedName>
    <definedName name="_xlnm.Print_Area" localSheetId="2">'2.Capex Details'!$A$1:$H$118</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'!$A$1:$J$39</definedName>
    <definedName name="_xlnm.Print_Area" localSheetId="9">'9. Financial indiacators'!$B$1:$M$186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8" i="57"/>
  <c r="G53"/>
  <c r="G46"/>
  <c r="G45"/>
  <c r="G40"/>
  <c r="G26"/>
  <c r="G27"/>
  <c r="G28"/>
  <c r="G29"/>
  <c r="G30"/>
  <c r="G31"/>
  <c r="G32"/>
  <c r="G33"/>
  <c r="G25"/>
  <c r="G57" l="1"/>
  <c r="G56"/>
  <c r="B7" i="83"/>
  <c r="B9"/>
  <c r="D15" s="1"/>
  <c r="F15" s="1"/>
  <c r="H15" s="1"/>
  <c r="C44"/>
  <c r="D44"/>
  <c r="E44"/>
  <c r="F44"/>
  <c r="G44" s="1"/>
  <c r="H44" s="1"/>
  <c r="C37" i="55"/>
  <c r="D37" s="1"/>
  <c r="E37" s="1"/>
  <c r="F37" s="1"/>
  <c r="G37" s="1"/>
  <c r="C86"/>
  <c r="E74"/>
  <c r="F74" s="1"/>
  <c r="G74" s="1"/>
  <c r="H74" s="1"/>
  <c r="I74" s="1"/>
  <c r="B88"/>
  <c r="C71" i="83"/>
  <c r="D71" s="1"/>
  <c r="E71" s="1"/>
  <c r="F71" s="1"/>
  <c r="F83" s="1"/>
  <c r="E134" i="72"/>
  <c r="F134" s="1"/>
  <c r="G134" s="1"/>
  <c r="H134" s="1"/>
  <c r="I134" s="1"/>
  <c r="D16" i="83"/>
  <c r="F16"/>
  <c r="H16" s="1"/>
  <c r="B74" s="1"/>
  <c r="C74" s="1"/>
  <c r="B69" i="81"/>
  <c r="C69" s="1"/>
  <c r="C65"/>
  <c r="D65" s="1"/>
  <c r="E65" s="1"/>
  <c r="F65" s="1"/>
  <c r="G65" s="1"/>
  <c r="H65" s="1"/>
  <c r="B70"/>
  <c r="C70" s="1"/>
  <c r="B71"/>
  <c r="C71" s="1"/>
  <c r="B72"/>
  <c r="C72" s="1"/>
  <c r="B73"/>
  <c r="C73" s="1"/>
  <c r="B74"/>
  <c r="C74" s="1"/>
  <c r="B75"/>
  <c r="C75" s="1"/>
  <c r="B76"/>
  <c r="C76" s="1"/>
  <c r="B77"/>
  <c r="C77" s="1"/>
  <c r="B78"/>
  <c r="C78" s="1"/>
  <c r="B79"/>
  <c r="C79" s="1"/>
  <c r="B80"/>
  <c r="C80" s="1"/>
  <c r="B81"/>
  <c r="C81" s="1"/>
  <c r="B82"/>
  <c r="C82" s="1"/>
  <c r="B83"/>
  <c r="C83" s="1"/>
  <c r="B84"/>
  <c r="C84" s="1"/>
  <c r="B85"/>
  <c r="C85" s="1"/>
  <c r="B5" i="72"/>
  <c r="B158"/>
  <c r="D14" i="83"/>
  <c r="B109"/>
  <c r="C109" s="1"/>
  <c r="D109" s="1"/>
  <c r="E109" s="1"/>
  <c r="F109" s="1"/>
  <c r="G109" s="1"/>
  <c r="C107"/>
  <c r="D107"/>
  <c r="E107" s="1"/>
  <c r="F107" s="1"/>
  <c r="G107" s="1"/>
  <c r="H107" s="1"/>
  <c r="E124" i="53"/>
  <c r="F124"/>
  <c r="G124" s="1"/>
  <c r="H124" s="1"/>
  <c r="I124"/>
  <c r="B110" i="83"/>
  <c r="C110" s="1"/>
  <c r="D110" s="1"/>
  <c r="E110" s="1"/>
  <c r="F110" s="1"/>
  <c r="G110" s="1"/>
  <c r="B111"/>
  <c r="C111" s="1"/>
  <c r="B112"/>
  <c r="C112"/>
  <c r="B113"/>
  <c r="C113" s="1"/>
  <c r="D113"/>
  <c r="E113" s="1"/>
  <c r="F113"/>
  <c r="G113" s="1"/>
  <c r="B114"/>
  <c r="C114" s="1"/>
  <c r="D114" s="1"/>
  <c r="E114" s="1"/>
  <c r="F114" s="1"/>
  <c r="G114" s="1"/>
  <c r="B115"/>
  <c r="C115" s="1"/>
  <c r="B116"/>
  <c r="C116"/>
  <c r="B117"/>
  <c r="C117" s="1"/>
  <c r="D117"/>
  <c r="E117" s="1"/>
  <c r="F117" s="1"/>
  <c r="G117" s="1"/>
  <c r="B118"/>
  <c r="C118" s="1"/>
  <c r="D118" s="1"/>
  <c r="E118" s="1"/>
  <c r="F118" s="1"/>
  <c r="G118" s="1"/>
  <c r="B119"/>
  <c r="C119" s="1"/>
  <c r="D119" s="1"/>
  <c r="E119"/>
  <c r="F119" s="1"/>
  <c r="G119" s="1"/>
  <c r="H119" s="1"/>
  <c r="I43" i="53" s="1"/>
  <c r="I96" s="1"/>
  <c r="B120" i="83"/>
  <c r="C120"/>
  <c r="B121"/>
  <c r="C121" s="1"/>
  <c r="D121" s="1"/>
  <c r="E121" s="1"/>
  <c r="F121" s="1"/>
  <c r="G121" s="1"/>
  <c r="B122"/>
  <c r="C122" s="1"/>
  <c r="B123"/>
  <c r="B124"/>
  <c r="C124"/>
  <c r="D124" s="1"/>
  <c r="E124" s="1"/>
  <c r="F124" s="1"/>
  <c r="G124" s="1"/>
  <c r="B125"/>
  <c r="C125" s="1"/>
  <c r="D125" s="1"/>
  <c r="E125" s="1"/>
  <c r="F125" s="1"/>
  <c r="G125" s="1"/>
  <c r="B126"/>
  <c r="C126" s="1"/>
  <c r="D126" s="1"/>
  <c r="E126" s="1"/>
  <c r="F126" s="1"/>
  <c r="B130"/>
  <c r="C130" s="1"/>
  <c r="D130" s="1"/>
  <c r="E130" s="1"/>
  <c r="F130" s="1"/>
  <c r="G130" s="1"/>
  <c r="H130" s="1"/>
  <c r="I54" i="53" s="1"/>
  <c r="I107" s="1"/>
  <c r="B131" i="83"/>
  <c r="C131"/>
  <c r="D131" s="1"/>
  <c r="E131" s="1"/>
  <c r="F131"/>
  <c r="G131" s="1"/>
  <c r="H131"/>
  <c r="I55" i="53" s="1"/>
  <c r="I108" s="1"/>
  <c r="B132" i="83"/>
  <c r="C132" s="1"/>
  <c r="D132" s="1"/>
  <c r="E132" s="1"/>
  <c r="F132" s="1"/>
  <c r="G132" s="1"/>
  <c r="B133"/>
  <c r="C133" s="1"/>
  <c r="D133"/>
  <c r="E133" s="1"/>
  <c r="F133" s="1"/>
  <c r="G133"/>
  <c r="B127"/>
  <c r="C127" s="1"/>
  <c r="D127" s="1"/>
  <c r="E127" s="1"/>
  <c r="F127" s="1"/>
  <c r="G127" s="1"/>
  <c r="B128"/>
  <c r="C128" s="1"/>
  <c r="D128"/>
  <c r="E128" s="1"/>
  <c r="F128" s="1"/>
  <c r="G128"/>
  <c r="B129"/>
  <c r="C129"/>
  <c r="D129" s="1"/>
  <c r="E129" s="1"/>
  <c r="F129" s="1"/>
  <c r="B92" i="81"/>
  <c r="C92" s="1"/>
  <c r="C90"/>
  <c r="D90"/>
  <c r="B93"/>
  <c r="C93"/>
  <c r="B94"/>
  <c r="C94" s="1"/>
  <c r="B95"/>
  <c r="C95" s="1"/>
  <c r="B96"/>
  <c r="C96"/>
  <c r="B97"/>
  <c r="C97" s="1"/>
  <c r="B98"/>
  <c r="C98"/>
  <c r="B99"/>
  <c r="C99" s="1"/>
  <c r="B101"/>
  <c r="C101" s="1"/>
  <c r="D101" s="1"/>
  <c r="B102"/>
  <c r="C102"/>
  <c r="B103"/>
  <c r="C103" s="1"/>
  <c r="B104"/>
  <c r="C104" s="1"/>
  <c r="B105"/>
  <c r="C105"/>
  <c r="B106"/>
  <c r="C106" s="1"/>
  <c r="B107"/>
  <c r="C107"/>
  <c r="B108"/>
  <c r="C108" s="1"/>
  <c r="B110"/>
  <c r="C110" s="1"/>
  <c r="D110" s="1"/>
  <c r="B111"/>
  <c r="C111"/>
  <c r="B112"/>
  <c r="C112" s="1"/>
  <c r="D112" s="1"/>
  <c r="B113"/>
  <c r="C113" s="1"/>
  <c r="D113" s="1"/>
  <c r="I31" i="53"/>
  <c r="I84"/>
  <c r="H43"/>
  <c r="H96" s="1"/>
  <c r="H55"/>
  <c r="H108" s="1"/>
  <c r="I240" s="1"/>
  <c r="H31"/>
  <c r="H84" s="1"/>
  <c r="I219" s="1"/>
  <c r="F14" i="83"/>
  <c r="H14"/>
  <c r="B102" s="1"/>
  <c r="C100"/>
  <c r="D100" s="1"/>
  <c r="E100" s="1"/>
  <c r="F100" s="1"/>
  <c r="G100"/>
  <c r="H100" s="1"/>
  <c r="C35" i="84"/>
  <c r="D35"/>
  <c r="E35" s="1"/>
  <c r="F35" s="1"/>
  <c r="G35" s="1"/>
  <c r="E144"/>
  <c r="F144"/>
  <c r="G144" s="1"/>
  <c r="H144"/>
  <c r="I144" s="1"/>
  <c r="J144" s="1"/>
  <c r="B75" i="83"/>
  <c r="C75" s="1"/>
  <c r="D75" s="1"/>
  <c r="E75" s="1"/>
  <c r="F75"/>
  <c r="B76"/>
  <c r="C76" s="1"/>
  <c r="D76" s="1"/>
  <c r="E76" s="1"/>
  <c r="F76" s="1"/>
  <c r="B77"/>
  <c r="C77" s="1"/>
  <c r="D77" s="1"/>
  <c r="E77" s="1"/>
  <c r="B78"/>
  <c r="C78" s="1"/>
  <c r="D78" s="1"/>
  <c r="E78" s="1"/>
  <c r="B79"/>
  <c r="C79" s="1"/>
  <c r="D79" s="1"/>
  <c r="E79" s="1"/>
  <c r="B80"/>
  <c r="C80" s="1"/>
  <c r="D80" s="1"/>
  <c r="E80" s="1"/>
  <c r="B81"/>
  <c r="C81" s="1"/>
  <c r="D81" s="1"/>
  <c r="E81" s="1"/>
  <c r="B82"/>
  <c r="C82" s="1"/>
  <c r="D82" s="1"/>
  <c r="E82" s="1"/>
  <c r="F82" s="1"/>
  <c r="B83"/>
  <c r="C83" s="1"/>
  <c r="D83" s="1"/>
  <c r="E83" s="1"/>
  <c r="B84"/>
  <c r="C84" s="1"/>
  <c r="D84" s="1"/>
  <c r="E84" s="1"/>
  <c r="B85"/>
  <c r="C85" s="1"/>
  <c r="D85" s="1"/>
  <c r="E85" s="1"/>
  <c r="B86"/>
  <c r="C86" s="1"/>
  <c r="D86" s="1"/>
  <c r="E86" s="1"/>
  <c r="B87"/>
  <c r="C87" s="1"/>
  <c r="D87" s="1"/>
  <c r="E87" s="1"/>
  <c r="F87"/>
  <c r="B88"/>
  <c r="C88" s="1"/>
  <c r="D88" s="1"/>
  <c r="E88" s="1"/>
  <c r="F88" s="1"/>
  <c r="B89"/>
  <c r="C89" s="1"/>
  <c r="D89" s="1"/>
  <c r="E89" s="1"/>
  <c r="F89" s="1"/>
  <c r="H31" i="84"/>
  <c r="H32"/>
  <c r="B158"/>
  <c r="E17" i="42"/>
  <c r="F17" s="1"/>
  <c r="G17" s="1"/>
  <c r="H17" s="1"/>
  <c r="I17" s="1"/>
  <c r="J17" s="1"/>
  <c r="C29"/>
  <c r="F8" i="48"/>
  <c r="H8" s="1"/>
  <c r="J8" s="1"/>
  <c r="F9"/>
  <c r="H9" s="1"/>
  <c r="J9" s="1"/>
  <c r="F10"/>
  <c r="H10" s="1"/>
  <c r="J10"/>
  <c r="F11"/>
  <c r="H11" s="1"/>
  <c r="J11" s="1"/>
  <c r="F12"/>
  <c r="H12" s="1"/>
  <c r="J12" s="1"/>
  <c r="J13"/>
  <c r="J14"/>
  <c r="J15"/>
  <c r="J16"/>
  <c r="J17"/>
  <c r="F23"/>
  <c r="G23"/>
  <c r="H23" s="1"/>
  <c r="I23" s="1"/>
  <c r="J23" s="1"/>
  <c r="M8"/>
  <c r="M9"/>
  <c r="M10"/>
  <c r="M11"/>
  <c r="M12"/>
  <c r="C44" s="1"/>
  <c r="M13"/>
  <c r="M14"/>
  <c r="M15"/>
  <c r="M16"/>
  <c r="M17"/>
  <c r="C33" i="53"/>
  <c r="C86" s="1"/>
  <c r="D154" s="1"/>
  <c r="C34"/>
  <c r="C87"/>
  <c r="C35"/>
  <c r="C88" s="1"/>
  <c r="D156" s="1"/>
  <c r="C36"/>
  <c r="C89" s="1"/>
  <c r="D157" s="1"/>
  <c r="C37"/>
  <c r="C90" s="1"/>
  <c r="D158" s="1"/>
  <c r="C38"/>
  <c r="C91" s="1"/>
  <c r="D159" s="1"/>
  <c r="C39"/>
  <c r="C92" s="1"/>
  <c r="D160" s="1"/>
  <c r="C40"/>
  <c r="C93"/>
  <c r="D161" s="1"/>
  <c r="C41"/>
  <c r="C94"/>
  <c r="D162" s="1"/>
  <c r="C42"/>
  <c r="C95"/>
  <c r="D163" s="1"/>
  <c r="C43"/>
  <c r="C96" s="1"/>
  <c r="D164" s="1"/>
  <c r="C44"/>
  <c r="C97" s="1"/>
  <c r="D165" s="1"/>
  <c r="C45"/>
  <c r="C98" s="1"/>
  <c r="D166" s="1"/>
  <c r="C46"/>
  <c r="C99" s="1"/>
  <c r="C48"/>
  <c r="C101" s="1"/>
  <c r="D169" s="1"/>
  <c r="C49"/>
  <c r="C102"/>
  <c r="D170" s="1"/>
  <c r="C50"/>
  <c r="C103"/>
  <c r="D171" s="1"/>
  <c r="C51"/>
  <c r="C104" s="1"/>
  <c r="D172" s="1"/>
  <c r="C52"/>
  <c r="C105" s="1"/>
  <c r="D173" s="1"/>
  <c r="C53"/>
  <c r="C106" s="1"/>
  <c r="D174" s="1"/>
  <c r="C54"/>
  <c r="C107" s="1"/>
  <c r="D175" s="1"/>
  <c r="C55"/>
  <c r="C108" s="1"/>
  <c r="D176"/>
  <c r="C56"/>
  <c r="C109" s="1"/>
  <c r="D177" s="1"/>
  <c r="C57"/>
  <c r="C110" s="1"/>
  <c r="D178" s="1"/>
  <c r="C9"/>
  <c r="C62"/>
  <c r="C10"/>
  <c r="C63"/>
  <c r="C11"/>
  <c r="C64" s="1"/>
  <c r="D132" s="1"/>
  <c r="C12"/>
  <c r="C65"/>
  <c r="C13"/>
  <c r="C66"/>
  <c r="D134" s="1"/>
  <c r="C14"/>
  <c r="C67"/>
  <c r="C15"/>
  <c r="C68" s="1"/>
  <c r="D136" s="1"/>
  <c r="C16"/>
  <c r="C69"/>
  <c r="C18"/>
  <c r="C71"/>
  <c r="D139" s="1"/>
  <c r="C19"/>
  <c r="C72"/>
  <c r="C20"/>
  <c r="C73"/>
  <c r="C21"/>
  <c r="C74"/>
  <c r="C22"/>
  <c r="C75"/>
  <c r="C23"/>
  <c r="C76"/>
  <c r="C24"/>
  <c r="C77"/>
  <c r="C25"/>
  <c r="C78"/>
  <c r="C27"/>
  <c r="C80"/>
  <c r="D148" s="1"/>
  <c r="C28"/>
  <c r="C81"/>
  <c r="C29"/>
  <c r="C82"/>
  <c r="C30"/>
  <c r="C83"/>
  <c r="C31"/>
  <c r="C84"/>
  <c r="C182"/>
  <c r="D131"/>
  <c r="D133"/>
  <c r="D135"/>
  <c r="D137"/>
  <c r="D140"/>
  <c r="D141"/>
  <c r="D142"/>
  <c r="D143"/>
  <c r="D144"/>
  <c r="D145"/>
  <c r="D146"/>
  <c r="D149"/>
  <c r="D150"/>
  <c r="D151"/>
  <c r="D152"/>
  <c r="B38" i="55"/>
  <c r="C80"/>
  <c r="C142" i="72"/>
  <c r="B14"/>
  <c r="B38" s="1"/>
  <c r="B62" s="1"/>
  <c r="C146"/>
  <c r="B63"/>
  <c r="B13" i="84"/>
  <c r="B36"/>
  <c r="B39"/>
  <c r="B62"/>
  <c r="B136" s="1"/>
  <c r="C28" i="48"/>
  <c r="D28"/>
  <c r="E28"/>
  <c r="C29"/>
  <c r="D29"/>
  <c r="C30"/>
  <c r="E30" s="1"/>
  <c r="D30"/>
  <c r="C31"/>
  <c r="D31"/>
  <c r="E31"/>
  <c r="C32"/>
  <c r="D32"/>
  <c r="E32"/>
  <c r="C33"/>
  <c r="D33"/>
  <c r="E33"/>
  <c r="C34"/>
  <c r="D34"/>
  <c r="C35"/>
  <c r="D35"/>
  <c r="E35" s="1"/>
  <c r="C36"/>
  <c r="D36"/>
  <c r="E36"/>
  <c r="C37"/>
  <c r="D37"/>
  <c r="C38"/>
  <c r="E38" s="1"/>
  <c r="D38"/>
  <c r="B10" i="42"/>
  <c r="D21" s="1"/>
  <c r="D23" s="1"/>
  <c r="E38" i="61" s="1"/>
  <c r="D221" i="53"/>
  <c r="D223"/>
  <c r="D224"/>
  <c r="D225"/>
  <c r="D226"/>
  <c r="D227"/>
  <c r="D228"/>
  <c r="D229"/>
  <c r="D230"/>
  <c r="D231"/>
  <c r="D232"/>
  <c r="D233"/>
  <c r="D236"/>
  <c r="D237"/>
  <c r="D238"/>
  <c r="D239"/>
  <c r="D240"/>
  <c r="D241"/>
  <c r="D242"/>
  <c r="D197"/>
  <c r="D198"/>
  <c r="D199"/>
  <c r="D200"/>
  <c r="D201"/>
  <c r="D202"/>
  <c r="D203"/>
  <c r="D204"/>
  <c r="D205"/>
  <c r="D206"/>
  <c r="D207"/>
  <c r="D208"/>
  <c r="D209"/>
  <c r="D210"/>
  <c r="D211"/>
  <c r="D212"/>
  <c r="D213"/>
  <c r="D214"/>
  <c r="D215"/>
  <c r="D216"/>
  <c r="D217"/>
  <c r="D218"/>
  <c r="D219"/>
  <c r="D243"/>
  <c r="D156" i="72"/>
  <c r="B15"/>
  <c r="B16"/>
  <c r="B17"/>
  <c r="B18"/>
  <c r="B19"/>
  <c r="B20"/>
  <c r="B21"/>
  <c r="B22"/>
  <c r="B23"/>
  <c r="B24"/>
  <c r="B25"/>
  <c r="B26"/>
  <c r="B27"/>
  <c r="B28"/>
  <c r="B29"/>
  <c r="B30"/>
  <c r="B31"/>
  <c r="D156" i="84"/>
  <c r="B16"/>
  <c r="B17"/>
  <c r="B18"/>
  <c r="B19"/>
  <c r="B20"/>
  <c r="B21"/>
  <c r="B22"/>
  <c r="B23"/>
  <c r="B24"/>
  <c r="B25"/>
  <c r="B26"/>
  <c r="B27"/>
  <c r="B28"/>
  <c r="B29"/>
  <c r="B30"/>
  <c r="B90" i="83"/>
  <c r="B31" i="84" s="1"/>
  <c r="B91" i="83"/>
  <c r="B32" i="84" s="1"/>
  <c r="D159"/>
  <c r="E44" i="48"/>
  <c r="D27" i="42"/>
  <c r="D34" s="1"/>
  <c r="E51" i="61" s="1"/>
  <c r="D28" i="42"/>
  <c r="D29"/>
  <c r="G6" i="57"/>
  <c r="G7"/>
  <c r="G9"/>
  <c r="G10"/>
  <c r="G11"/>
  <c r="G21"/>
  <c r="G22" s="1"/>
  <c r="G19"/>
  <c r="G20" s="1"/>
  <c r="G24"/>
  <c r="G34"/>
  <c r="G35"/>
  <c r="G36"/>
  <c r="G37"/>
  <c r="G38"/>
  <c r="G39"/>
  <c r="G41"/>
  <c r="G42"/>
  <c r="G43"/>
  <c r="G44"/>
  <c r="G47"/>
  <c r="G48"/>
  <c r="G49"/>
  <c r="G50"/>
  <c r="G51"/>
  <c r="G52"/>
  <c r="G54"/>
  <c r="G55"/>
  <c r="G59"/>
  <c r="F71"/>
  <c r="F72"/>
  <c r="F73"/>
  <c r="F74"/>
  <c r="F75"/>
  <c r="F76"/>
  <c r="F85"/>
  <c r="F86"/>
  <c r="F87"/>
  <c r="F88"/>
  <c r="F89"/>
  <c r="F90"/>
  <c r="F91"/>
  <c r="F101"/>
  <c r="F102"/>
  <c r="F103" s="1"/>
  <c r="D9" i="62" s="1"/>
  <c r="D115" i="57"/>
  <c r="D10" i="62" s="1"/>
  <c r="F10" s="1"/>
  <c r="C9" i="42"/>
  <c r="D9" s="1"/>
  <c r="E9" s="1"/>
  <c r="F9" s="1"/>
  <c r="J172" i="84"/>
  <c r="J177"/>
  <c r="H33" i="21"/>
  <c r="F4" i="22"/>
  <c r="G4" s="1"/>
  <c r="H4"/>
  <c r="I4" s="1"/>
  <c r="J4" s="1"/>
  <c r="K4" s="1"/>
  <c r="K20" s="1"/>
  <c r="K12"/>
  <c r="H43" i="21"/>
  <c r="G33" i="53"/>
  <c r="G86" s="1"/>
  <c r="H221" s="1"/>
  <c r="G34"/>
  <c r="G87"/>
  <c r="G37"/>
  <c r="G90"/>
  <c r="H225" s="1"/>
  <c r="G38"/>
  <c r="G91" s="1"/>
  <c r="H226" s="1"/>
  <c r="G41"/>
  <c r="G94" s="1"/>
  <c r="H229" s="1"/>
  <c r="G42"/>
  <c r="G95" s="1"/>
  <c r="H230" s="1"/>
  <c r="G43"/>
  <c r="G96" s="1"/>
  <c r="H231" s="1"/>
  <c r="G45"/>
  <c r="G98"/>
  <c r="H233" s="1"/>
  <c r="G48"/>
  <c r="G101" s="1"/>
  <c r="H236" s="1"/>
  <c r="G49"/>
  <c r="G102"/>
  <c r="G51"/>
  <c r="G104" s="1"/>
  <c r="G52"/>
  <c r="G105" s="1"/>
  <c r="G54"/>
  <c r="G107"/>
  <c r="G55"/>
  <c r="G108"/>
  <c r="I176" s="1"/>
  <c r="G56"/>
  <c r="G109" s="1"/>
  <c r="H241" s="1"/>
  <c r="G57"/>
  <c r="G110" s="1"/>
  <c r="H242" s="1"/>
  <c r="G31"/>
  <c r="G84" s="1"/>
  <c r="F38" i="55"/>
  <c r="F36" i="84"/>
  <c r="J29" i="48"/>
  <c r="C90" i="83"/>
  <c r="D90" s="1"/>
  <c r="E90" s="1"/>
  <c r="F90" s="1"/>
  <c r="C91"/>
  <c r="D91" s="1"/>
  <c r="E91" s="1"/>
  <c r="F91" s="1"/>
  <c r="H222" i="53"/>
  <c r="H237"/>
  <c r="H239"/>
  <c r="H240"/>
  <c r="H205"/>
  <c r="H214"/>
  <c r="H243"/>
  <c r="I27" i="42"/>
  <c r="I34" s="1"/>
  <c r="I28"/>
  <c r="I29"/>
  <c r="J44" i="48"/>
  <c r="I99" i="55"/>
  <c r="I106"/>
  <c r="G28" i="21" s="1"/>
  <c r="I175" i="72"/>
  <c r="I180" s="1"/>
  <c r="G29" i="21" s="1"/>
  <c r="I37" i="42"/>
  <c r="I43" s="1"/>
  <c r="G30" i="21" s="1"/>
  <c r="J52" i="48"/>
  <c r="J56" s="1"/>
  <c r="G31" i="21" s="1"/>
  <c r="I265" i="53"/>
  <c r="I266"/>
  <c r="I273" s="1"/>
  <c r="G32" i="21" s="1"/>
  <c r="I267" i="53"/>
  <c r="I268"/>
  <c r="I172" i="84"/>
  <c r="I177"/>
  <c r="G33" i="21" s="1"/>
  <c r="J8" i="22"/>
  <c r="J9"/>
  <c r="J10"/>
  <c r="J11"/>
  <c r="J12"/>
  <c r="J13"/>
  <c r="J14"/>
  <c r="J15"/>
  <c r="J16"/>
  <c r="J17"/>
  <c r="J18"/>
  <c r="J19"/>
  <c r="J20"/>
  <c r="J21"/>
  <c r="J22"/>
  <c r="G43" i="21"/>
  <c r="F33" i="53"/>
  <c r="F86" s="1"/>
  <c r="H154"/>
  <c r="F34"/>
  <c r="F87" s="1"/>
  <c r="F37"/>
  <c r="F90" s="1"/>
  <c r="F38"/>
  <c r="F91"/>
  <c r="H159" s="1"/>
  <c r="F41"/>
  <c r="F94" s="1"/>
  <c r="F42"/>
  <c r="F95" s="1"/>
  <c r="F43"/>
  <c r="F96" s="1"/>
  <c r="F45"/>
  <c r="F98" s="1"/>
  <c r="F48"/>
  <c r="F101"/>
  <c r="H169"/>
  <c r="F49"/>
  <c r="F102" s="1"/>
  <c r="H170"/>
  <c r="F50"/>
  <c r="F103" s="1"/>
  <c r="G238" s="1"/>
  <c r="F51"/>
  <c r="F104"/>
  <c r="H172" s="1"/>
  <c r="F52"/>
  <c r="F105"/>
  <c r="F53"/>
  <c r="F106"/>
  <c r="F54"/>
  <c r="F107" s="1"/>
  <c r="F55"/>
  <c r="F108" s="1"/>
  <c r="F56"/>
  <c r="F109"/>
  <c r="H177"/>
  <c r="F57"/>
  <c r="F110" s="1"/>
  <c r="H178"/>
  <c r="F31"/>
  <c r="F84" s="1"/>
  <c r="G219" s="1"/>
  <c r="E38" i="55"/>
  <c r="E36" i="84"/>
  <c r="I28" i="48"/>
  <c r="I29"/>
  <c r="I30"/>
  <c r="I31"/>
  <c r="I32"/>
  <c r="I33"/>
  <c r="I34"/>
  <c r="I35"/>
  <c r="I36"/>
  <c r="I38"/>
  <c r="F16" i="84"/>
  <c r="F17"/>
  <c r="F23"/>
  <c r="F28"/>
  <c r="F29"/>
  <c r="F32"/>
  <c r="G226" i="53"/>
  <c r="G236"/>
  <c r="G240"/>
  <c r="G241"/>
  <c r="G205"/>
  <c r="G214"/>
  <c r="G243"/>
  <c r="H27" i="42"/>
  <c r="H28"/>
  <c r="H29"/>
  <c r="H34"/>
  <c r="I51" i="61" s="1"/>
  <c r="I44" i="48"/>
  <c r="H99" i="55"/>
  <c r="H106" s="1"/>
  <c r="F28" i="21" s="1"/>
  <c r="H175" i="72"/>
  <c r="H180" s="1"/>
  <c r="F29" i="21" s="1"/>
  <c r="H37" i="42"/>
  <c r="H43" s="1"/>
  <c r="F30" i="21"/>
  <c r="I52" i="48"/>
  <c r="I56" s="1"/>
  <c r="F31" i="21" s="1"/>
  <c r="H265" i="53"/>
  <c r="H266"/>
  <c r="H267"/>
  <c r="H268"/>
  <c r="H273"/>
  <c r="F32" i="21" s="1"/>
  <c r="H172" i="84"/>
  <c r="H177" s="1"/>
  <c r="F33" i="21" s="1"/>
  <c r="I8" i="22"/>
  <c r="I9"/>
  <c r="I10"/>
  <c r="I11"/>
  <c r="I12"/>
  <c r="I13"/>
  <c r="I14"/>
  <c r="I15"/>
  <c r="I16"/>
  <c r="I17"/>
  <c r="I18"/>
  <c r="I19"/>
  <c r="I20"/>
  <c r="I21"/>
  <c r="I22"/>
  <c r="G86"/>
  <c r="F43" i="21" s="1"/>
  <c r="E33" i="53"/>
  <c r="E86" s="1"/>
  <c r="E34"/>
  <c r="E87" s="1"/>
  <c r="G155"/>
  <c r="E37"/>
  <c r="E90"/>
  <c r="E38"/>
  <c r="E91" s="1"/>
  <c r="G159" s="1"/>
  <c r="E41"/>
  <c r="E94"/>
  <c r="E42"/>
  <c r="E95" s="1"/>
  <c r="G163"/>
  <c r="E43"/>
  <c r="E96"/>
  <c r="E45"/>
  <c r="E98"/>
  <c r="E48"/>
  <c r="E101" s="1"/>
  <c r="G169" s="1"/>
  <c r="E49"/>
  <c r="E102" s="1"/>
  <c r="E50"/>
  <c r="E103" s="1"/>
  <c r="G171"/>
  <c r="E51"/>
  <c r="E104"/>
  <c r="G172" s="1"/>
  <c r="E52"/>
  <c r="E105" s="1"/>
  <c r="E53"/>
  <c r="E106"/>
  <c r="G174" s="1"/>
  <c r="E54"/>
  <c r="E107" s="1"/>
  <c r="E55"/>
  <c r="E108"/>
  <c r="E56"/>
  <c r="E109" s="1"/>
  <c r="G177" s="1"/>
  <c r="E57"/>
  <c r="E110" s="1"/>
  <c r="E18"/>
  <c r="E71" s="1"/>
  <c r="E27"/>
  <c r="E80" s="1"/>
  <c r="F215" s="1"/>
  <c r="E29"/>
  <c r="E82" s="1"/>
  <c r="E30"/>
  <c r="E83"/>
  <c r="E31"/>
  <c r="E84" s="1"/>
  <c r="G152" s="1"/>
  <c r="D38" i="55"/>
  <c r="D36" i="84"/>
  <c r="H28" i="48"/>
  <c r="H29"/>
  <c r="H30"/>
  <c r="H31"/>
  <c r="H32"/>
  <c r="H33"/>
  <c r="H34"/>
  <c r="H35"/>
  <c r="H36"/>
  <c r="H38"/>
  <c r="E10" i="42"/>
  <c r="G21"/>
  <c r="G23"/>
  <c r="E16" i="84"/>
  <c r="E17"/>
  <c r="E18"/>
  <c r="E19"/>
  <c r="E20"/>
  <c r="E21"/>
  <c r="E22"/>
  <c r="E23"/>
  <c r="E24"/>
  <c r="E25"/>
  <c r="E26"/>
  <c r="E27"/>
  <c r="E28"/>
  <c r="E29"/>
  <c r="E30"/>
  <c r="E31"/>
  <c r="E32"/>
  <c r="F221" i="53"/>
  <c r="F222"/>
  <c r="F225"/>
  <c r="F226"/>
  <c r="F229"/>
  <c r="F230"/>
  <c r="F231"/>
  <c r="F233"/>
  <c r="F236"/>
  <c r="F237"/>
  <c r="F238"/>
  <c r="F239"/>
  <c r="F240"/>
  <c r="F241"/>
  <c r="F242"/>
  <c r="F205"/>
  <c r="F206"/>
  <c r="F214"/>
  <c r="F217"/>
  <c r="F218"/>
  <c r="F219"/>
  <c r="F243"/>
  <c r="G27" i="42"/>
  <c r="G34" s="1"/>
  <c r="G28"/>
  <c r="G29"/>
  <c r="H44" i="48"/>
  <c r="G99" i="55"/>
  <c r="G106"/>
  <c r="E28" i="21" s="1"/>
  <c r="G175" i="72"/>
  <c r="G180" s="1"/>
  <c r="E29" i="21" s="1"/>
  <c r="G37" i="42"/>
  <c r="G43" s="1"/>
  <c r="E30" i="21" s="1"/>
  <c r="H52" i="48"/>
  <c r="H56" s="1"/>
  <c r="E31" i="21" s="1"/>
  <c r="G265" i="53"/>
  <c r="G266"/>
  <c r="G267"/>
  <c r="G268"/>
  <c r="G273"/>
  <c r="E32" i="21"/>
  <c r="G172" i="84"/>
  <c r="G177"/>
  <c r="E33" i="21" s="1"/>
  <c r="H8" i="22"/>
  <c r="H9"/>
  <c r="H10"/>
  <c r="H11"/>
  <c r="H12"/>
  <c r="H13"/>
  <c r="H14"/>
  <c r="H15"/>
  <c r="H16"/>
  <c r="H17"/>
  <c r="H18"/>
  <c r="H19"/>
  <c r="H20"/>
  <c r="H21"/>
  <c r="H22"/>
  <c r="D33" i="53"/>
  <c r="D86"/>
  <c r="F154" s="1"/>
  <c r="D34"/>
  <c r="D87"/>
  <c r="F155" s="1"/>
  <c r="D35"/>
  <c r="D88"/>
  <c r="D36"/>
  <c r="D89" s="1"/>
  <c r="E224" s="1"/>
  <c r="D37"/>
  <c r="D90" s="1"/>
  <c r="D38"/>
  <c r="D91" s="1"/>
  <c r="D39"/>
  <c r="D92" s="1"/>
  <c r="D40"/>
  <c r="D93"/>
  <c r="D41"/>
  <c r="D94"/>
  <c r="F162" s="1"/>
  <c r="D42"/>
  <c r="D95"/>
  <c r="F163" s="1"/>
  <c r="D43"/>
  <c r="D96"/>
  <c r="D44"/>
  <c r="D97" s="1"/>
  <c r="E232" s="1"/>
  <c r="D45"/>
  <c r="D98" s="1"/>
  <c r="D46"/>
  <c r="D99" s="1"/>
  <c r="D48"/>
  <c r="D101"/>
  <c r="F169"/>
  <c r="D49"/>
  <c r="D102"/>
  <c r="F170" s="1"/>
  <c r="D50"/>
  <c r="D103"/>
  <c r="F171" s="1"/>
  <c r="D51"/>
  <c r="D104"/>
  <c r="D52"/>
  <c r="D105" s="1"/>
  <c r="F173" s="1"/>
  <c r="D53"/>
  <c r="D106" s="1"/>
  <c r="D54"/>
  <c r="D107" s="1"/>
  <c r="D55"/>
  <c r="D108" s="1"/>
  <c r="D56"/>
  <c r="D109"/>
  <c r="F177"/>
  <c r="D57"/>
  <c r="D110"/>
  <c r="F178" s="1"/>
  <c r="D9"/>
  <c r="D62"/>
  <c r="D10"/>
  <c r="D63"/>
  <c r="D11"/>
  <c r="D64" s="1"/>
  <c r="D12"/>
  <c r="D65" s="1"/>
  <c r="D13"/>
  <c r="D66"/>
  <c r="D14"/>
  <c r="D67"/>
  <c r="D15"/>
  <c r="D68" s="1"/>
  <c r="D16"/>
  <c r="D69" s="1"/>
  <c r="D18"/>
  <c r="D71"/>
  <c r="D19"/>
  <c r="D72"/>
  <c r="D20"/>
  <c r="D73" s="1"/>
  <c r="D21"/>
  <c r="D74" s="1"/>
  <c r="D22"/>
  <c r="D75"/>
  <c r="D23"/>
  <c r="D76"/>
  <c r="D24"/>
  <c r="D77" s="1"/>
  <c r="D25"/>
  <c r="D78" s="1"/>
  <c r="D27"/>
  <c r="D80"/>
  <c r="D28"/>
  <c r="D81"/>
  <c r="D29"/>
  <c r="D82" s="1"/>
  <c r="D30"/>
  <c r="D83" s="1"/>
  <c r="D31"/>
  <c r="D84"/>
  <c r="F152" s="1"/>
  <c r="F139"/>
  <c r="C38" i="55"/>
  <c r="C14" i="72"/>
  <c r="C38"/>
  <c r="C62" s="1"/>
  <c r="C63"/>
  <c r="C36" i="84"/>
  <c r="G28" i="48"/>
  <c r="G29"/>
  <c r="G30"/>
  <c r="G31"/>
  <c r="G32"/>
  <c r="G33"/>
  <c r="G34"/>
  <c r="G35"/>
  <c r="G36"/>
  <c r="G38"/>
  <c r="D10" i="42"/>
  <c r="F21" s="1"/>
  <c r="F23" s="1"/>
  <c r="G38" i="61" s="1"/>
  <c r="D16" i="84"/>
  <c r="D17"/>
  <c r="D18"/>
  <c r="D19"/>
  <c r="D20"/>
  <c r="D21"/>
  <c r="D22"/>
  <c r="D23"/>
  <c r="D24"/>
  <c r="D25"/>
  <c r="D26"/>
  <c r="D27"/>
  <c r="D28"/>
  <c r="D29"/>
  <c r="D30"/>
  <c r="D31"/>
  <c r="D32"/>
  <c r="E156" i="72"/>
  <c r="C15"/>
  <c r="C16"/>
  <c r="C17"/>
  <c r="C18"/>
  <c r="C19"/>
  <c r="C20"/>
  <c r="C21"/>
  <c r="C22"/>
  <c r="C23"/>
  <c r="C24"/>
  <c r="C25"/>
  <c r="C26"/>
  <c r="C27"/>
  <c r="C28"/>
  <c r="C29"/>
  <c r="C30"/>
  <c r="C31"/>
  <c r="E221" i="53"/>
  <c r="E222"/>
  <c r="E228"/>
  <c r="E229"/>
  <c r="E230"/>
  <c r="E236"/>
  <c r="E237"/>
  <c r="E238"/>
  <c r="E241"/>
  <c r="E242"/>
  <c r="E197"/>
  <c r="E198"/>
  <c r="E201"/>
  <c r="E202"/>
  <c r="E205"/>
  <c r="E206"/>
  <c r="E207"/>
  <c r="E210"/>
  <c r="E211"/>
  <c r="E214"/>
  <c r="E215"/>
  <c r="E216"/>
  <c r="E218"/>
  <c r="E219"/>
  <c r="E243"/>
  <c r="F27" i="42"/>
  <c r="F34" s="1"/>
  <c r="F28"/>
  <c r="F29"/>
  <c r="G44" i="48"/>
  <c r="F99" i="55"/>
  <c r="F106" s="1"/>
  <c r="D28" i="21" s="1"/>
  <c r="F175" i="72"/>
  <c r="F180"/>
  <c r="D29" i="21"/>
  <c r="F37" i="42"/>
  <c r="F43" s="1"/>
  <c r="D30" i="21" s="1"/>
  <c r="G52" i="48"/>
  <c r="G56" s="1"/>
  <c r="D31" i="21" s="1"/>
  <c r="F265" i="53"/>
  <c r="F273" s="1"/>
  <c r="D32" i="21" s="1"/>
  <c r="F266" i="53"/>
  <c r="F267"/>
  <c r="F268"/>
  <c r="F172" i="84"/>
  <c r="F177" s="1"/>
  <c r="D33" i="21" s="1"/>
  <c r="G8" i="22"/>
  <c r="G9"/>
  <c r="G10"/>
  <c r="G11"/>
  <c r="G12"/>
  <c r="G13"/>
  <c r="G14"/>
  <c r="G15"/>
  <c r="G16"/>
  <c r="G17"/>
  <c r="G18"/>
  <c r="G19"/>
  <c r="G20"/>
  <c r="G21"/>
  <c r="G22"/>
  <c r="E154" i="53"/>
  <c r="E155"/>
  <c r="E157"/>
  <c r="E161"/>
  <c r="E162"/>
  <c r="E163"/>
  <c r="E165"/>
  <c r="E169"/>
  <c r="E170"/>
  <c r="E171"/>
  <c r="E173"/>
  <c r="E177"/>
  <c r="E178"/>
  <c r="E130"/>
  <c r="E131"/>
  <c r="E134"/>
  <c r="E135"/>
  <c r="E139"/>
  <c r="E140"/>
  <c r="E143"/>
  <c r="E144"/>
  <c r="E148"/>
  <c r="E149"/>
  <c r="E152"/>
  <c r="F28" i="48"/>
  <c r="F29"/>
  <c r="F30"/>
  <c r="F31"/>
  <c r="F32"/>
  <c r="F33"/>
  <c r="F34"/>
  <c r="F35"/>
  <c r="F36"/>
  <c r="F38"/>
  <c r="C10" i="42"/>
  <c r="E21" s="1"/>
  <c r="E23" s="1"/>
  <c r="C16" i="84"/>
  <c r="C17"/>
  <c r="C18"/>
  <c r="C19"/>
  <c r="C20"/>
  <c r="C21"/>
  <c r="C22"/>
  <c r="C23"/>
  <c r="C24"/>
  <c r="C25"/>
  <c r="C26"/>
  <c r="C27"/>
  <c r="C28"/>
  <c r="C29"/>
  <c r="C30"/>
  <c r="C31"/>
  <c r="C32"/>
  <c r="E27" i="42"/>
  <c r="E34" s="1"/>
  <c r="E28"/>
  <c r="E29"/>
  <c r="F44" i="48"/>
  <c r="E99" i="55"/>
  <c r="E106" s="1"/>
  <c r="C28" i="21" s="1"/>
  <c r="E175" i="72"/>
  <c r="E180" s="1"/>
  <c r="C29" i="21" s="1"/>
  <c r="E37" i="42"/>
  <c r="E43"/>
  <c r="C30" i="21" s="1"/>
  <c r="F52" i="48"/>
  <c r="F56"/>
  <c r="C31" i="21" s="1"/>
  <c r="E265" i="53"/>
  <c r="E266"/>
  <c r="E267"/>
  <c r="E273" s="1"/>
  <c r="C32" i="21" s="1"/>
  <c r="E268" i="53"/>
  <c r="E172" i="84"/>
  <c r="E177" s="1"/>
  <c r="C33" i="21" s="1"/>
  <c r="F8" i="22"/>
  <c r="F9"/>
  <c r="F10"/>
  <c r="F11"/>
  <c r="F12"/>
  <c r="F13"/>
  <c r="F14"/>
  <c r="F15"/>
  <c r="F16"/>
  <c r="F17"/>
  <c r="F18"/>
  <c r="F19"/>
  <c r="F20"/>
  <c r="F21"/>
  <c r="F22"/>
  <c r="B20" i="21"/>
  <c r="B10"/>
  <c r="D99" i="55"/>
  <c r="D106"/>
  <c r="B28" i="21" s="1"/>
  <c r="D175" i="72"/>
  <c r="D180"/>
  <c r="B29" i="21"/>
  <c r="D37" i="42"/>
  <c r="D43" s="1"/>
  <c r="B30" i="21" s="1"/>
  <c r="E52" i="48"/>
  <c r="E56" s="1"/>
  <c r="B31" i="21" s="1"/>
  <c r="D265" i="53"/>
  <c r="D273" s="1"/>
  <c r="B32" i="21" s="1"/>
  <c r="D266" i="53"/>
  <c r="D267"/>
  <c r="D268"/>
  <c r="D172" i="84"/>
  <c r="D177" s="1"/>
  <c r="B33" i="21" s="1"/>
  <c r="E8" i="22"/>
  <c r="E23" s="1"/>
  <c r="B35" i="21" s="1"/>
  <c r="E9" i="22"/>
  <c r="E10"/>
  <c r="E11"/>
  <c r="E12"/>
  <c r="E13"/>
  <c r="E14"/>
  <c r="E15"/>
  <c r="E16"/>
  <c r="E17"/>
  <c r="E18"/>
  <c r="E19"/>
  <c r="E20"/>
  <c r="E21"/>
  <c r="E22"/>
  <c r="I87"/>
  <c r="H87"/>
  <c r="G87"/>
  <c r="I111" i="29"/>
  <c r="A149" i="84"/>
  <c r="C33" i="72"/>
  <c r="D33" s="1"/>
  <c r="E33" s="1"/>
  <c r="F33" s="1"/>
  <c r="G33" s="1"/>
  <c r="H33" s="1"/>
  <c r="A62"/>
  <c r="A144" s="1"/>
  <c r="A145" s="1"/>
  <c r="A146" s="1"/>
  <c r="B146"/>
  <c r="B145"/>
  <c r="B144"/>
  <c r="A140"/>
  <c r="A141"/>
  <c r="A142" s="1"/>
  <c r="A14"/>
  <c r="A38"/>
  <c r="A61" s="1"/>
  <c r="A143" s="1"/>
  <c r="A37"/>
  <c r="A58"/>
  <c r="A139"/>
  <c r="A63"/>
  <c r="H22" i="57"/>
  <c r="H20"/>
  <c r="H27"/>
  <c r="H30"/>
  <c r="H31"/>
  <c r="H32"/>
  <c r="H33"/>
  <c r="H34"/>
  <c r="H35"/>
  <c r="H36"/>
  <c r="H37"/>
  <c r="H38"/>
  <c r="H39"/>
  <c r="H41"/>
  <c r="H42"/>
  <c r="H43"/>
  <c r="H44"/>
  <c r="H47"/>
  <c r="H48"/>
  <c r="H49"/>
  <c r="H50"/>
  <c r="H51"/>
  <c r="H52"/>
  <c r="H54"/>
  <c r="H55"/>
  <c r="B7" i="81"/>
  <c r="B9" s="1"/>
  <c r="B54"/>
  <c r="B23" i="55" s="1"/>
  <c r="B55" s="1"/>
  <c r="B55" i="81"/>
  <c r="B24" i="55" s="1"/>
  <c r="B56" s="1"/>
  <c r="B56" i="81"/>
  <c r="B57"/>
  <c r="B26" i="55"/>
  <c r="B58"/>
  <c r="B58" i="81"/>
  <c r="B27" i="55"/>
  <c r="B59"/>
  <c r="B59" i="81"/>
  <c r="B28" i="55"/>
  <c r="B60" s="1"/>
  <c r="B60" i="81"/>
  <c r="B29" i="55"/>
  <c r="B61" i="81"/>
  <c r="B30" i="55" s="1"/>
  <c r="B62" s="1"/>
  <c r="B62" i="81"/>
  <c r="B31" i="55"/>
  <c r="B63" s="1"/>
  <c r="B42" i="81"/>
  <c r="B43"/>
  <c r="B12" i="55" s="1"/>
  <c r="B44" s="1"/>
  <c r="B44" i="81"/>
  <c r="B13" i="55"/>
  <c r="B45" s="1"/>
  <c r="B45" i="81"/>
  <c r="B14" i="55"/>
  <c r="B46" i="81"/>
  <c r="B47"/>
  <c r="B16" i="55" s="1"/>
  <c r="B48" s="1"/>
  <c r="B48" i="81"/>
  <c r="B17" i="55"/>
  <c r="B49" i="81"/>
  <c r="B18" i="55"/>
  <c r="B50" s="1"/>
  <c r="B50" i="81"/>
  <c r="B51"/>
  <c r="B52"/>
  <c r="B21" i="55"/>
  <c r="B53" s="1"/>
  <c r="B53" i="81"/>
  <c r="B22" i="55"/>
  <c r="B32"/>
  <c r="B64" s="1"/>
  <c r="B61"/>
  <c r="B57" i="83"/>
  <c r="B58"/>
  <c r="B59"/>
  <c r="C59" s="1"/>
  <c r="B60"/>
  <c r="C60" s="1"/>
  <c r="B61"/>
  <c r="B62"/>
  <c r="C62" s="1"/>
  <c r="D62" s="1"/>
  <c r="E62" s="1"/>
  <c r="F62" s="1"/>
  <c r="G62" s="1"/>
  <c r="B68"/>
  <c r="B69"/>
  <c r="B46" i="55"/>
  <c r="B49"/>
  <c r="B54"/>
  <c r="B48" i="83"/>
  <c r="C48" s="1"/>
  <c r="B49"/>
  <c r="B50"/>
  <c r="C50" s="1"/>
  <c r="D50" s="1"/>
  <c r="E50" s="1"/>
  <c r="F50" s="1"/>
  <c r="G50" s="1"/>
  <c r="B54"/>
  <c r="B55"/>
  <c r="B56"/>
  <c r="B51"/>
  <c r="C51" s="1"/>
  <c r="B52"/>
  <c r="B53"/>
  <c r="C53" s="1"/>
  <c r="D53" s="1"/>
  <c r="E53" s="1"/>
  <c r="B67" i="81"/>
  <c r="B68"/>
  <c r="B47" i="72"/>
  <c r="B96" s="1"/>
  <c r="B42"/>
  <c r="B79" s="1"/>
  <c r="B40"/>
  <c r="B71"/>
  <c r="B57" i="84"/>
  <c r="B119"/>
  <c r="B120"/>
  <c r="B137" s="1"/>
  <c r="B121"/>
  <c r="B138" s="1"/>
  <c r="B9" i="68"/>
  <c r="B64" i="83"/>
  <c r="B63"/>
  <c r="C63" s="1"/>
  <c r="C10" i="62"/>
  <c r="C8"/>
  <c r="C7"/>
  <c r="C6"/>
  <c r="C5"/>
  <c r="C40" i="81"/>
  <c r="C42"/>
  <c r="D42" s="1"/>
  <c r="E42" s="1"/>
  <c r="F42" s="1"/>
  <c r="G42" s="1"/>
  <c r="H42" s="1"/>
  <c r="D40"/>
  <c r="E40"/>
  <c r="F40" s="1"/>
  <c r="G40" s="1"/>
  <c r="H40" s="1"/>
  <c r="C44"/>
  <c r="D44" s="1"/>
  <c r="E44" s="1"/>
  <c r="C45"/>
  <c r="D45" s="1"/>
  <c r="C48"/>
  <c r="D48" s="1"/>
  <c r="C49"/>
  <c r="D49" s="1"/>
  <c r="E49" s="1"/>
  <c r="F49"/>
  <c r="C52"/>
  <c r="D52" s="1"/>
  <c r="E52" s="1"/>
  <c r="E21" i="55" s="1"/>
  <c r="E53" s="1"/>
  <c r="F52" i="81"/>
  <c r="C53"/>
  <c r="D53" s="1"/>
  <c r="E53" s="1"/>
  <c r="F53"/>
  <c r="C55"/>
  <c r="D55" s="1"/>
  <c r="C57"/>
  <c r="D57" s="1"/>
  <c r="E57" s="1"/>
  <c r="F57"/>
  <c r="C58"/>
  <c r="D58" s="1"/>
  <c r="C59"/>
  <c r="D59" s="1"/>
  <c r="C60"/>
  <c r="D60" s="1"/>
  <c r="C61"/>
  <c r="D61" s="1"/>
  <c r="E61" s="1"/>
  <c r="F61"/>
  <c r="C62"/>
  <c r="D62" s="1"/>
  <c r="H32" i="55"/>
  <c r="H64" s="1"/>
  <c r="D48" i="83"/>
  <c r="E48" s="1"/>
  <c r="F48"/>
  <c r="G48" s="1"/>
  <c r="H48" s="1"/>
  <c r="C49"/>
  <c r="D49" s="1"/>
  <c r="E49" s="1"/>
  <c r="F49"/>
  <c r="G49" s="1"/>
  <c r="H49"/>
  <c r="H50"/>
  <c r="D51"/>
  <c r="E51" s="1"/>
  <c r="F51" s="1"/>
  <c r="G51" s="1"/>
  <c r="H51" s="1"/>
  <c r="C52"/>
  <c r="D52"/>
  <c r="E52" s="1"/>
  <c r="F52"/>
  <c r="G52" s="1"/>
  <c r="H52" s="1"/>
  <c r="F53"/>
  <c r="G53" s="1"/>
  <c r="H53"/>
  <c r="C54"/>
  <c r="D54" s="1"/>
  <c r="E54" s="1"/>
  <c r="F54" s="1"/>
  <c r="G54" s="1"/>
  <c r="H54" s="1"/>
  <c r="C55"/>
  <c r="D55"/>
  <c r="E55" s="1"/>
  <c r="F55" s="1"/>
  <c r="G55" s="1"/>
  <c r="H55" s="1"/>
  <c r="C56"/>
  <c r="D56"/>
  <c r="E56" s="1"/>
  <c r="F56" s="1"/>
  <c r="G56" s="1"/>
  <c r="H56" s="1"/>
  <c r="C57"/>
  <c r="D57" s="1"/>
  <c r="E57" s="1"/>
  <c r="F57"/>
  <c r="G57" s="1"/>
  <c r="H57" s="1"/>
  <c r="C58"/>
  <c r="D58" s="1"/>
  <c r="E58" s="1"/>
  <c r="F58" s="1"/>
  <c r="G58" s="1"/>
  <c r="H58" s="1"/>
  <c r="D59"/>
  <c r="E59" s="1"/>
  <c r="F59" s="1"/>
  <c r="G59" s="1"/>
  <c r="H59" s="1"/>
  <c r="D60"/>
  <c r="E60" s="1"/>
  <c r="F60" s="1"/>
  <c r="G60" s="1"/>
  <c r="H60" s="1"/>
  <c r="C61"/>
  <c r="D61" s="1"/>
  <c r="E61" s="1"/>
  <c r="F61"/>
  <c r="G61" s="1"/>
  <c r="H61" s="1"/>
  <c r="H62"/>
  <c r="C68"/>
  <c r="D68"/>
  <c r="E68" s="1"/>
  <c r="F68" s="1"/>
  <c r="G68" s="1"/>
  <c r="H68" s="1"/>
  <c r="C69"/>
  <c r="D69"/>
  <c r="E69" s="1"/>
  <c r="F69"/>
  <c r="G69" s="1"/>
  <c r="H69" s="1"/>
  <c r="G32" i="55"/>
  <c r="G64" s="1"/>
  <c r="F32"/>
  <c r="F64"/>
  <c r="E18"/>
  <c r="E50" s="1"/>
  <c r="E22"/>
  <c r="E54" s="1"/>
  <c r="E26"/>
  <c r="E58" s="1"/>
  <c r="E30"/>
  <c r="E62" s="1"/>
  <c r="E32"/>
  <c r="E64"/>
  <c r="D13"/>
  <c r="D45" s="1"/>
  <c r="D18"/>
  <c r="D50"/>
  <c r="D21"/>
  <c r="D53" s="1"/>
  <c r="D22"/>
  <c r="D54" s="1"/>
  <c r="D26"/>
  <c r="D58"/>
  <c r="D30"/>
  <c r="D62" s="1"/>
  <c r="D32"/>
  <c r="D64" s="1"/>
  <c r="C13"/>
  <c r="C45"/>
  <c r="C14"/>
  <c r="C46"/>
  <c r="C17"/>
  <c r="C49"/>
  <c r="C18"/>
  <c r="C50"/>
  <c r="C21"/>
  <c r="C53" s="1"/>
  <c r="C22"/>
  <c r="C54"/>
  <c r="C24"/>
  <c r="C56"/>
  <c r="C26"/>
  <c r="C58"/>
  <c r="C27"/>
  <c r="C59" s="1"/>
  <c r="C28"/>
  <c r="C60" s="1"/>
  <c r="C29"/>
  <c r="C61"/>
  <c r="C30"/>
  <c r="C62"/>
  <c r="C31"/>
  <c r="C63" s="1"/>
  <c r="C32"/>
  <c r="C64"/>
  <c r="H57" i="84"/>
  <c r="H121" s="1"/>
  <c r="H138" s="1"/>
  <c r="K12" i="83"/>
  <c r="H120" i="84"/>
  <c r="H137" s="1"/>
  <c r="G57"/>
  <c r="G119" s="1"/>
  <c r="G121"/>
  <c r="G138" s="1"/>
  <c r="F57"/>
  <c r="F119"/>
  <c r="F120"/>
  <c r="F137"/>
  <c r="F121"/>
  <c r="F138"/>
  <c r="E57"/>
  <c r="E120" s="1"/>
  <c r="E137" s="1"/>
  <c r="E119"/>
  <c r="E121"/>
  <c r="E138" s="1"/>
  <c r="D57"/>
  <c r="D119" s="1"/>
  <c r="J14" i="83"/>
  <c r="C57" i="84"/>
  <c r="C119" s="1"/>
  <c r="C120"/>
  <c r="C137"/>
  <c r="H34" i="72"/>
  <c r="C68" i="81"/>
  <c r="D68" s="1"/>
  <c r="E68" s="1"/>
  <c r="F68"/>
  <c r="G68" s="1"/>
  <c r="H68" s="1"/>
  <c r="C67"/>
  <c r="D67" s="1"/>
  <c r="E67" s="1"/>
  <c r="F67"/>
  <c r="G67" s="1"/>
  <c r="H67" s="1"/>
  <c r="G34" i="72"/>
  <c r="F34"/>
  <c r="E34"/>
  <c r="D34"/>
  <c r="C34"/>
  <c r="C47" s="1"/>
  <c r="C42"/>
  <c r="C79" s="1"/>
  <c r="C40"/>
  <c r="C71" s="1"/>
  <c r="C96"/>
  <c r="A42" i="81"/>
  <c r="A67"/>
  <c r="A92" s="1"/>
  <c r="A9" i="53" s="1"/>
  <c r="A66" i="83"/>
  <c r="A130"/>
  <c r="A54" i="53" s="1"/>
  <c r="A107" s="1"/>
  <c r="A175"/>
  <c r="A239" s="1"/>
  <c r="A65" i="83"/>
  <c r="A129"/>
  <c r="A53" i="53"/>
  <c r="A174" s="1"/>
  <c r="A64" i="83"/>
  <c r="A91"/>
  <c r="A63"/>
  <c r="A90"/>
  <c r="A127" s="1"/>
  <c r="A51" i="53" s="1"/>
  <c r="A104" s="1"/>
  <c r="A106"/>
  <c r="B87" i="81"/>
  <c r="C87"/>
  <c r="D87"/>
  <c r="E87" s="1"/>
  <c r="F87" s="1"/>
  <c r="G87" s="1"/>
  <c r="H87" s="1"/>
  <c r="B86"/>
  <c r="C86" s="1"/>
  <c r="D86" s="1"/>
  <c r="E86"/>
  <c r="F86" s="1"/>
  <c r="G86" s="1"/>
  <c r="H86" s="1"/>
  <c r="C9" i="61"/>
  <c r="C17"/>
  <c r="V11"/>
  <c r="V8"/>
  <c r="V9"/>
  <c r="V10"/>
  <c r="V12"/>
  <c r="V13"/>
  <c r="V16"/>
  <c r="U13"/>
  <c r="U12"/>
  <c r="U10"/>
  <c r="U11"/>
  <c r="U9"/>
  <c r="O13"/>
  <c r="N13"/>
  <c r="O12"/>
  <c r="P12" s="1"/>
  <c r="Q12" s="1"/>
  <c r="R12" s="1"/>
  <c r="N12"/>
  <c r="O11"/>
  <c r="P11"/>
  <c r="Q11" s="1"/>
  <c r="R11" s="1"/>
  <c r="N11"/>
  <c r="N10"/>
  <c r="O10"/>
  <c r="P10" s="1"/>
  <c r="Q10" s="1"/>
  <c r="R10" s="1"/>
  <c r="O9"/>
  <c r="P9" s="1"/>
  <c r="Q9" s="1"/>
  <c r="R9" s="1"/>
  <c r="N9"/>
  <c r="R8"/>
  <c r="R16" s="1"/>
  <c r="Q8"/>
  <c r="Q16" s="1"/>
  <c r="P8"/>
  <c r="P16" s="1"/>
  <c r="O8"/>
  <c r="P13"/>
  <c r="Q13" s="1"/>
  <c r="R13" s="1"/>
  <c r="O16"/>
  <c r="C15"/>
  <c r="C16"/>
  <c r="I176" i="29"/>
  <c r="H176"/>
  <c r="G176"/>
  <c r="F176"/>
  <c r="E176"/>
  <c r="D176"/>
  <c r="C172"/>
  <c r="C176"/>
  <c r="B131"/>
  <c r="B146" s="1"/>
  <c r="B161" s="1"/>
  <c r="B176"/>
  <c r="B130"/>
  <c r="B145"/>
  <c r="B160" s="1"/>
  <c r="B175" s="1"/>
  <c r="I161"/>
  <c r="H161"/>
  <c r="G161"/>
  <c r="F161"/>
  <c r="E161"/>
  <c r="D161"/>
  <c r="C157"/>
  <c r="C161"/>
  <c r="I146"/>
  <c r="H146"/>
  <c r="G146"/>
  <c r="F146"/>
  <c r="E146"/>
  <c r="D146"/>
  <c r="C142"/>
  <c r="C146"/>
  <c r="I131"/>
  <c r="H131"/>
  <c r="G131"/>
  <c r="F131"/>
  <c r="E131"/>
  <c r="D131"/>
  <c r="C131"/>
  <c r="C127"/>
  <c r="B129"/>
  <c r="B128"/>
  <c r="B127"/>
  <c r="B126"/>
  <c r="B141" s="1"/>
  <c r="B156" s="1"/>
  <c r="B171" s="1"/>
  <c r="B125"/>
  <c r="C34"/>
  <c r="B37"/>
  <c r="B36"/>
  <c r="B35"/>
  <c r="B34"/>
  <c r="B33"/>
  <c r="B32"/>
  <c r="C52" i="61"/>
  <c r="C51"/>
  <c r="C50"/>
  <c r="C49"/>
  <c r="C48"/>
  <c r="C47"/>
  <c r="A23" i="21"/>
  <c r="A33"/>
  <c r="A31" i="84"/>
  <c r="C64" i="83"/>
  <c r="D64" s="1"/>
  <c r="E64" s="1"/>
  <c r="F64" s="1"/>
  <c r="G64" s="1"/>
  <c r="H64"/>
  <c r="D63"/>
  <c r="E63" s="1"/>
  <c r="F63" s="1"/>
  <c r="G63" s="1"/>
  <c r="H63" s="1"/>
  <c r="A179" i="53"/>
  <c r="A243"/>
  <c r="A133" i="83"/>
  <c r="A57" i="53"/>
  <c r="A68" i="83"/>
  <c r="A132"/>
  <c r="A56" i="53"/>
  <c r="A177"/>
  <c r="A241" s="1"/>
  <c r="A67" i="83"/>
  <c r="A131"/>
  <c r="A55" i="53" s="1"/>
  <c r="A62" i="83"/>
  <c r="A89" s="1"/>
  <c r="A30" i="84" s="1"/>
  <c r="A61" i="83"/>
  <c r="A88"/>
  <c r="A125"/>
  <c r="A49" i="53" s="1"/>
  <c r="A102" s="1"/>
  <c r="A170"/>
  <c r="A237" s="1"/>
  <c r="A60" i="83"/>
  <c r="A87"/>
  <c r="A124" s="1"/>
  <c r="A48" i="53" s="1"/>
  <c r="A169" s="1"/>
  <c r="A236" s="1"/>
  <c r="A59" i="83"/>
  <c r="A86" s="1"/>
  <c r="A123" s="1"/>
  <c r="A47" i="53" s="1"/>
  <c r="A58" i="83"/>
  <c r="A85" s="1"/>
  <c r="A26" i="84" s="1"/>
  <c r="A122" i="83"/>
  <c r="A46" i="53" s="1"/>
  <c r="A167" s="1"/>
  <c r="A234" s="1"/>
  <c r="A57" i="83"/>
  <c r="A84"/>
  <c r="A121"/>
  <c r="A45" i="53" s="1"/>
  <c r="A98" s="1"/>
  <c r="A166"/>
  <c r="A233" s="1"/>
  <c r="A56" i="83"/>
  <c r="A83"/>
  <c r="A120" s="1"/>
  <c r="A44" i="53" s="1"/>
  <c r="A97" s="1"/>
  <c r="A165"/>
  <c r="A232" s="1"/>
  <c r="A55" i="83"/>
  <c r="A82" s="1"/>
  <c r="A54"/>
  <c r="A81" s="1"/>
  <c r="A22" i="84" s="1"/>
  <c r="A118" i="83"/>
  <c r="A42" i="53" s="1"/>
  <c r="A53" i="83"/>
  <c r="A80"/>
  <c r="A117"/>
  <c r="A41" i="53" s="1"/>
  <c r="A94" s="1"/>
  <c r="A52" i="83"/>
  <c r="A79"/>
  <c r="A116" s="1"/>
  <c r="A40" i="53" s="1"/>
  <c r="A161"/>
  <c r="A228" s="1"/>
  <c r="A51" i="83"/>
  <c r="A78" s="1"/>
  <c r="A115" s="1"/>
  <c r="A39" i="53" s="1"/>
  <c r="A50" i="83"/>
  <c r="A77" s="1"/>
  <c r="A18" i="84" s="1"/>
  <c r="A114" i="83"/>
  <c r="A38" i="53" s="1"/>
  <c r="A159" s="1"/>
  <c r="A226" s="1"/>
  <c r="A49" i="83"/>
  <c r="A76"/>
  <c r="A113"/>
  <c r="A37" i="53" s="1"/>
  <c r="A90" s="1"/>
  <c r="A158"/>
  <c r="A225" s="1"/>
  <c r="A48" i="83"/>
  <c r="A75"/>
  <c r="A112" s="1"/>
  <c r="A36" i="53" s="1"/>
  <c r="A89" s="1"/>
  <c r="A111" i="83"/>
  <c r="A35" i="53" s="1"/>
  <c r="A47" i="83"/>
  <c r="A73"/>
  <c r="A110"/>
  <c r="A34" i="53" s="1"/>
  <c r="A87" s="1"/>
  <c r="A109" i="83"/>
  <c r="A33" i="53"/>
  <c r="A154" s="1"/>
  <c r="A221" s="1"/>
  <c r="A32"/>
  <c r="A153" s="1"/>
  <c r="A220"/>
  <c r="A109"/>
  <c r="A99"/>
  <c r="A93"/>
  <c r="A31"/>
  <c r="A62" i="81"/>
  <c r="A87"/>
  <c r="A112" s="1"/>
  <c r="A30" i="53" s="1"/>
  <c r="A61" i="81"/>
  <c r="A30" i="55" s="1"/>
  <c r="A62" s="1"/>
  <c r="A60" i="81"/>
  <c r="A85"/>
  <c r="A110" s="1"/>
  <c r="A28" i="53" s="1"/>
  <c r="A43" i="81"/>
  <c r="A68" s="1"/>
  <c r="A34" i="55"/>
  <c r="A66" s="1"/>
  <c r="A67"/>
  <c r="A31"/>
  <c r="A63" s="1"/>
  <c r="A29"/>
  <c r="A61"/>
  <c r="A59" i="81"/>
  <c r="A28" i="55" s="1"/>
  <c r="A60" s="1"/>
  <c r="A60" i="84"/>
  <c r="A130" s="1"/>
  <c r="A59"/>
  <c r="A126" s="1"/>
  <c r="A58"/>
  <c r="A122"/>
  <c r="A13"/>
  <c r="A39"/>
  <c r="H60"/>
  <c r="G60"/>
  <c r="F60"/>
  <c r="E60"/>
  <c r="D60"/>
  <c r="C60"/>
  <c r="H59"/>
  <c r="G59"/>
  <c r="F59"/>
  <c r="E59"/>
  <c r="D59"/>
  <c r="C59"/>
  <c r="H58"/>
  <c r="G58"/>
  <c r="F58"/>
  <c r="E58"/>
  <c r="D58"/>
  <c r="C58"/>
  <c r="B60"/>
  <c r="B59"/>
  <c r="B58"/>
  <c r="A57"/>
  <c r="A118" s="1"/>
  <c r="A56"/>
  <c r="A117" s="1"/>
  <c r="A29"/>
  <c r="A55" s="1"/>
  <c r="A116" s="1"/>
  <c r="A28"/>
  <c r="A54" s="1"/>
  <c r="A115" s="1"/>
  <c r="A27"/>
  <c r="A53"/>
  <c r="A114" s="1"/>
  <c r="A25"/>
  <c r="A51" s="1"/>
  <c r="A109" s="1"/>
  <c r="A24"/>
  <c r="A21"/>
  <c r="A20"/>
  <c r="A46" s="1"/>
  <c r="A89" s="1"/>
  <c r="A17"/>
  <c r="A43" s="1"/>
  <c r="A16"/>
  <c r="F40"/>
  <c r="F41"/>
  <c r="F42"/>
  <c r="E40"/>
  <c r="E41"/>
  <c r="E42"/>
  <c r="F43"/>
  <c r="D40"/>
  <c r="D41"/>
  <c r="D42"/>
  <c r="E48"/>
  <c r="E43"/>
  <c r="C40"/>
  <c r="C41"/>
  <c r="C42"/>
  <c r="D48"/>
  <c r="D43"/>
  <c r="C39" i="72"/>
  <c r="C41"/>
  <c r="B40" i="84"/>
  <c r="B41"/>
  <c r="B42"/>
  <c r="C48"/>
  <c r="C43"/>
  <c r="B39" i="72"/>
  <c r="B41"/>
  <c r="B48" i="84"/>
  <c r="B43"/>
  <c r="A52"/>
  <c r="A113" s="1"/>
  <c r="A50"/>
  <c r="A105" s="1"/>
  <c r="A48"/>
  <c r="A97"/>
  <c r="A47"/>
  <c r="A93"/>
  <c r="A44"/>
  <c r="A82" s="1"/>
  <c r="A78"/>
  <c r="A42"/>
  <c r="A74" s="1"/>
  <c r="A41"/>
  <c r="A70" s="1"/>
  <c r="A40"/>
  <c r="A66" s="1"/>
  <c r="E56"/>
  <c r="D56"/>
  <c r="C56"/>
  <c r="B56"/>
  <c r="F55"/>
  <c r="E55"/>
  <c r="D55"/>
  <c r="C55"/>
  <c r="B55"/>
  <c r="F54"/>
  <c r="E54"/>
  <c r="D54"/>
  <c r="C54"/>
  <c r="B54"/>
  <c r="E53"/>
  <c r="D53"/>
  <c r="C53"/>
  <c r="B53"/>
  <c r="E52"/>
  <c r="D52"/>
  <c r="C52"/>
  <c r="B52"/>
  <c r="E51"/>
  <c r="D51"/>
  <c r="C51"/>
  <c r="B51"/>
  <c r="E50"/>
  <c r="D50"/>
  <c r="C50"/>
  <c r="B50"/>
  <c r="F49"/>
  <c r="E49"/>
  <c r="D49"/>
  <c r="C49"/>
  <c r="B49"/>
  <c r="E47"/>
  <c r="D47"/>
  <c r="C47"/>
  <c r="B47"/>
  <c r="E46"/>
  <c r="D46"/>
  <c r="C46"/>
  <c r="B46"/>
  <c r="E45"/>
  <c r="D45"/>
  <c r="C45"/>
  <c r="B45"/>
  <c r="E44"/>
  <c r="D44"/>
  <c r="C44"/>
  <c r="B44"/>
  <c r="A61" i="22"/>
  <c r="A62"/>
  <c r="A63"/>
  <c r="A64"/>
  <c r="B140" i="29"/>
  <c r="B142"/>
  <c r="B143"/>
  <c r="B144"/>
  <c r="B155"/>
  <c r="B157"/>
  <c r="B158"/>
  <c r="B159"/>
  <c r="B174" s="1"/>
  <c r="B170"/>
  <c r="B172"/>
  <c r="B173"/>
  <c r="H111"/>
  <c r="C65"/>
  <c r="D65" s="1"/>
  <c r="E65" s="1"/>
  <c r="F65" s="1"/>
  <c r="G65" s="1"/>
  <c r="H65" s="1"/>
  <c r="I65" s="1"/>
  <c r="H61"/>
  <c r="I61"/>
  <c r="I12"/>
  <c r="J12"/>
  <c r="V12" i="83"/>
  <c r="W12"/>
  <c r="X12" s="1"/>
  <c r="P12"/>
  <c r="Q12"/>
  <c r="R12" s="1"/>
  <c r="S12" s="1"/>
  <c r="T12" s="1"/>
  <c r="J14" i="81"/>
  <c r="K12"/>
  <c r="K14" s="1"/>
  <c r="L12"/>
  <c r="L14"/>
  <c r="M12"/>
  <c r="N12" s="1"/>
  <c r="N14" s="1"/>
  <c r="M14"/>
  <c r="B100"/>
  <c r="C100" s="1"/>
  <c r="D100" s="1"/>
  <c r="B109"/>
  <c r="C109"/>
  <c r="D109" s="1"/>
  <c r="C97" i="72"/>
  <c r="B97"/>
  <c r="C80"/>
  <c r="B80"/>
  <c r="C72"/>
  <c r="B72"/>
  <c r="A44" i="81"/>
  <c r="A69"/>
  <c r="A15" i="72"/>
  <c r="A39" s="1"/>
  <c r="F13" i="48"/>
  <c r="F14"/>
  <c r="F15"/>
  <c r="F16"/>
  <c r="F17"/>
  <c r="A152" i="53"/>
  <c r="A219"/>
  <c r="A151"/>
  <c r="A218"/>
  <c r="A149"/>
  <c r="A216" s="1"/>
  <c r="A84" i="81"/>
  <c r="A109"/>
  <c r="A27" i="53" s="1"/>
  <c r="A26"/>
  <c r="A147"/>
  <c r="A214" s="1"/>
  <c r="A58" i="81"/>
  <c r="A83"/>
  <c r="A108" s="1"/>
  <c r="A25" i="53" s="1"/>
  <c r="A57" i="81"/>
  <c r="A82" s="1"/>
  <c r="A56"/>
  <c r="A81" s="1"/>
  <c r="A55"/>
  <c r="A80"/>
  <c r="A105" s="1"/>
  <c r="A22" i="53" s="1"/>
  <c r="A54" i="81"/>
  <c r="A79"/>
  <c r="A25" i="72" s="1"/>
  <c r="A49" s="1"/>
  <c r="A101" s="1"/>
  <c r="A53" i="81"/>
  <c r="A78" s="1"/>
  <c r="A52"/>
  <c r="A77" s="1"/>
  <c r="A51"/>
  <c r="A76"/>
  <c r="A22" i="72" s="1"/>
  <c r="A46" s="1"/>
  <c r="A92" s="1"/>
  <c r="A138" i="53"/>
  <c r="A205"/>
  <c r="A49" i="81"/>
  <c r="A74"/>
  <c r="A99" s="1"/>
  <c r="A16" i="53" s="1"/>
  <c r="A48" i="81"/>
  <c r="A73"/>
  <c r="A19" i="72" s="1"/>
  <c r="A43" s="1"/>
  <c r="A81" s="1"/>
  <c r="A47" i="81"/>
  <c r="A72" s="1"/>
  <c r="A46"/>
  <c r="A71" s="1"/>
  <c r="A45"/>
  <c r="A70"/>
  <c r="A16" i="72" s="1"/>
  <c r="A40" s="1"/>
  <c r="A70" s="1"/>
  <c r="A94" i="81"/>
  <c r="A11" i="53"/>
  <c r="A132" s="1"/>
  <c r="A199" s="1"/>
  <c r="A129"/>
  <c r="A61"/>
  <c r="A85"/>
  <c r="A84"/>
  <c r="A83"/>
  <c r="A81"/>
  <c r="A79"/>
  <c r="A70"/>
  <c r="A64"/>
  <c r="A93" i="81"/>
  <c r="A10" i="53" s="1"/>
  <c r="A50" i="81"/>
  <c r="A75"/>
  <c r="A21" i="72"/>
  <c r="A45" s="1"/>
  <c r="A88" s="1"/>
  <c r="A122"/>
  <c r="A31"/>
  <c r="A55" s="1"/>
  <c r="A119" s="1"/>
  <c r="A30"/>
  <c r="A54"/>
  <c r="A116"/>
  <c r="A29"/>
  <c r="A53"/>
  <c r="A113" s="1"/>
  <c r="A26"/>
  <c r="A50" s="1"/>
  <c r="A104" s="1"/>
  <c r="C55"/>
  <c r="C54"/>
  <c r="C53"/>
  <c r="C52"/>
  <c r="C51"/>
  <c r="C50"/>
  <c r="C49"/>
  <c r="C48"/>
  <c r="C46"/>
  <c r="C45"/>
  <c r="C44"/>
  <c r="C43"/>
  <c r="B55"/>
  <c r="B54"/>
  <c r="B53"/>
  <c r="B52"/>
  <c r="B51"/>
  <c r="B50"/>
  <c r="B49"/>
  <c r="B48"/>
  <c r="B46"/>
  <c r="B45"/>
  <c r="B44"/>
  <c r="B43"/>
  <c r="A27" i="55"/>
  <c r="A59" s="1"/>
  <c r="A26"/>
  <c r="A58"/>
  <c r="A25"/>
  <c r="A57"/>
  <c r="A24"/>
  <c r="A56" s="1"/>
  <c r="A23"/>
  <c r="A55" s="1"/>
  <c r="A22"/>
  <c r="A54"/>
  <c r="A21"/>
  <c r="A53"/>
  <c r="A20"/>
  <c r="A52" s="1"/>
  <c r="A19"/>
  <c r="A51" s="1"/>
  <c r="A18"/>
  <c r="A50"/>
  <c r="A17"/>
  <c r="A49"/>
  <c r="A16"/>
  <c r="A48" s="1"/>
  <c r="A15"/>
  <c r="A47" s="1"/>
  <c r="A14"/>
  <c r="A46"/>
  <c r="A13"/>
  <c r="A45"/>
  <c r="A12"/>
  <c r="A44" s="1"/>
  <c r="A43"/>
  <c r="A70" s="1"/>
  <c r="A86"/>
  <c r="A32"/>
  <c r="A64" s="1"/>
  <c r="A100" i="81"/>
  <c r="V12"/>
  <c r="W12" s="1"/>
  <c r="X12" s="1"/>
  <c r="P12"/>
  <c r="Q12" s="1"/>
  <c r="R12" s="1"/>
  <c r="S12" s="1"/>
  <c r="T12" s="1"/>
  <c r="A32" i="48"/>
  <c r="A31"/>
  <c r="A30"/>
  <c r="A29"/>
  <c r="A28"/>
  <c r="J97" i="29"/>
  <c r="I97"/>
  <c r="B98"/>
  <c r="B97"/>
  <c r="B96"/>
  <c r="B95"/>
  <c r="A20" i="21"/>
  <c r="A30" s="1"/>
  <c r="A19"/>
  <c r="A29" s="1"/>
  <c r="A18"/>
  <c r="A28"/>
  <c r="A21"/>
  <c r="A31"/>
  <c r="A22"/>
  <c r="A32" s="1"/>
  <c r="I45" i="42"/>
  <c r="H45"/>
  <c r="G45"/>
  <c r="F45"/>
  <c r="E45"/>
  <c r="D45"/>
  <c r="K148" i="72"/>
  <c r="H28" i="69"/>
  <c r="B17" i="68"/>
  <c r="B16"/>
  <c r="A251" i="53"/>
  <c r="A250"/>
  <c r="A249"/>
  <c r="A247"/>
  <c r="A246"/>
  <c r="A245"/>
  <c r="A244"/>
  <c r="A195"/>
  <c r="E47" i="42"/>
  <c r="G47"/>
  <c r="F47"/>
  <c r="D47"/>
  <c r="C55" i="22" l="1"/>
  <c r="C20" i="68"/>
  <c r="C21"/>
  <c r="A63" i="53"/>
  <c r="A131"/>
  <c r="A198" s="1"/>
  <c r="A102" i="81"/>
  <c r="A19" i="53" s="1"/>
  <c r="A23" i="72"/>
  <c r="A47" s="1"/>
  <c r="A95" s="1"/>
  <c r="A103" i="81"/>
  <c r="A20" i="53" s="1"/>
  <c r="A24" i="72"/>
  <c r="A48" s="1"/>
  <c r="A98" s="1"/>
  <c r="A137" i="53"/>
  <c r="A204" s="1"/>
  <c r="A69"/>
  <c r="A143"/>
  <c r="A210" s="1"/>
  <c r="A75"/>
  <c r="A148"/>
  <c r="A215" s="1"/>
  <c r="A80"/>
  <c r="A96" i="81"/>
  <c r="A13" i="53" s="1"/>
  <c r="A17" i="72"/>
  <c r="A41" s="1"/>
  <c r="A73" s="1"/>
  <c r="A106" i="81"/>
  <c r="A23" i="53" s="1"/>
  <c r="A27" i="72"/>
  <c r="A51" s="1"/>
  <c r="A107" s="1"/>
  <c r="A97" i="81"/>
  <c r="A14" i="53" s="1"/>
  <c r="A18" i="72"/>
  <c r="A42" s="1"/>
  <c r="A78" s="1"/>
  <c r="A107" i="81"/>
  <c r="A24" i="53" s="1"/>
  <c r="A28" i="72"/>
  <c r="A52" s="1"/>
  <c r="A110" s="1"/>
  <c r="A146" i="53"/>
  <c r="A213" s="1"/>
  <c r="A78"/>
  <c r="A19" i="84"/>
  <c r="A45" s="1"/>
  <c r="A86" s="1"/>
  <c r="A101" i="53"/>
  <c r="A162"/>
  <c r="A229" s="1"/>
  <c r="A168"/>
  <c r="A235" s="1"/>
  <c r="A100"/>
  <c r="A126" i="83"/>
  <c r="A50" i="53" s="1"/>
  <c r="A178"/>
  <c r="A242" s="1"/>
  <c r="A110"/>
  <c r="D31" i="55"/>
  <c r="D63" s="1"/>
  <c r="E62" i="81"/>
  <c r="E13" i="55"/>
  <c r="E45" s="1"/>
  <c r="F44" i="81"/>
  <c r="A20" i="72"/>
  <c r="A44" s="1"/>
  <c r="A84" s="1"/>
  <c r="A95" i="81"/>
  <c r="A12" i="53" s="1"/>
  <c r="A101" i="81"/>
  <c r="A18" i="53" s="1"/>
  <c r="A156"/>
  <c r="A223" s="1"/>
  <c r="A88"/>
  <c r="A176"/>
  <c r="A240" s="1"/>
  <c r="A108"/>
  <c r="A128" i="83"/>
  <c r="A52" i="53" s="1"/>
  <c r="A32" i="84"/>
  <c r="A130" i="53"/>
  <c r="A197" s="1"/>
  <c r="A62"/>
  <c r="B20" i="55"/>
  <c r="B52" s="1"/>
  <c r="C51" i="81"/>
  <c r="A98"/>
  <c r="A15" i="53" s="1"/>
  <c r="A104" i="81"/>
  <c r="A21" i="53" s="1"/>
  <c r="A157"/>
  <c r="A224" s="1"/>
  <c r="E60" i="81"/>
  <c r="D29" i="55"/>
  <c r="D61" s="1"/>
  <c r="A160" i="53"/>
  <c r="A227" s="1"/>
  <c r="A92"/>
  <c r="A163"/>
  <c r="A230" s="1"/>
  <c r="A95"/>
  <c r="G53" i="81"/>
  <c r="F22" i="55"/>
  <c r="F54" s="1"/>
  <c r="E48" i="81"/>
  <c r="D17" i="55"/>
  <c r="D49" s="1"/>
  <c r="A91" i="53"/>
  <c r="A155"/>
  <c r="A222" s="1"/>
  <c r="A119" i="83"/>
  <c r="A43" i="53" s="1"/>
  <c r="A23" i="84"/>
  <c r="A49" s="1"/>
  <c r="A101" s="1"/>
  <c r="A172" i="53"/>
  <c r="G57" i="81"/>
  <c r="F26" i="55"/>
  <c r="F58" s="1"/>
  <c r="B36" i="21"/>
  <c r="C121" i="84"/>
  <c r="C138" s="1"/>
  <c r="D120"/>
  <c r="D137" s="1"/>
  <c r="H119"/>
  <c r="B19" i="55"/>
  <c r="B51" s="1"/>
  <c r="C50" i="81"/>
  <c r="A86" i="53"/>
  <c r="L12" i="83"/>
  <c r="K14"/>
  <c r="D28" i="55"/>
  <c r="D60" s="1"/>
  <c r="E59" i="81"/>
  <c r="B25" i="55"/>
  <c r="B57" s="1"/>
  <c r="C56" i="81"/>
  <c r="A86"/>
  <c r="A111" s="1"/>
  <c r="A29" i="53" s="1"/>
  <c r="G120" i="84"/>
  <c r="G137" s="1"/>
  <c r="G61" i="81"/>
  <c r="F30" i="55"/>
  <c r="F62" s="1"/>
  <c r="G49" i="81"/>
  <c r="F18" i="55"/>
  <c r="F50" s="1"/>
  <c r="G52" i="81"/>
  <c r="F21" i="55"/>
  <c r="F53" s="1"/>
  <c r="D27"/>
  <c r="D59" s="1"/>
  <c r="E58" i="81"/>
  <c r="D24" i="55"/>
  <c r="D56" s="1"/>
  <c r="E55" i="81"/>
  <c r="D121" i="84"/>
  <c r="D138" s="1"/>
  <c r="E45" i="81"/>
  <c r="D14" i="55"/>
  <c r="D46" s="1"/>
  <c r="B15"/>
  <c r="B47" s="1"/>
  <c r="C46" i="81"/>
  <c r="C20" i="21"/>
  <c r="F51" i="61"/>
  <c r="G23" i="22"/>
  <c r="D35" i="21" s="1"/>
  <c r="E145" i="53"/>
  <c r="E212"/>
  <c r="E172"/>
  <c r="F172"/>
  <c r="F38" i="61"/>
  <c r="C10" i="21"/>
  <c r="F151" i="53"/>
  <c r="E151"/>
  <c r="E200"/>
  <c r="E133"/>
  <c r="E234"/>
  <c r="E167"/>
  <c r="E156"/>
  <c r="E223"/>
  <c r="H51" i="61"/>
  <c r="E20" i="21"/>
  <c r="C54" i="81"/>
  <c r="C47"/>
  <c r="C43"/>
  <c r="G51" i="61"/>
  <c r="D20" i="21"/>
  <c r="E150" i="53"/>
  <c r="E217"/>
  <c r="F150"/>
  <c r="E199"/>
  <c r="E132"/>
  <c r="E233"/>
  <c r="F166"/>
  <c r="E166"/>
  <c r="E37" i="48"/>
  <c r="I37"/>
  <c r="J37"/>
  <c r="F37"/>
  <c r="F39" s="1"/>
  <c r="G37"/>
  <c r="G39" s="1"/>
  <c r="H37"/>
  <c r="H39" s="1"/>
  <c r="D161" i="84"/>
  <c r="D149"/>
  <c r="D152" s="1"/>
  <c r="D160"/>
  <c r="D36" i="21"/>
  <c r="F148" i="53"/>
  <c r="E204"/>
  <c r="E137"/>
  <c r="I152"/>
  <c r="H219"/>
  <c r="H152"/>
  <c r="D10" i="21"/>
  <c r="E203" i="53"/>
  <c r="E136"/>
  <c r="E240"/>
  <c r="E176"/>
  <c r="F176"/>
  <c r="E164"/>
  <c r="F164"/>
  <c r="E231"/>
  <c r="E10" i="21"/>
  <c r="H38" i="61"/>
  <c r="E145" i="72"/>
  <c r="E146"/>
  <c r="E144"/>
  <c r="E142" i="53"/>
  <c r="E209"/>
  <c r="F175"/>
  <c r="E239"/>
  <c r="E175"/>
  <c r="E160"/>
  <c r="E227"/>
  <c r="H23" i="22"/>
  <c r="E35" i="21" s="1"/>
  <c r="E36" s="1"/>
  <c r="E141" i="53"/>
  <c r="E208"/>
  <c r="F174"/>
  <c r="E174"/>
  <c r="E226"/>
  <c r="F159"/>
  <c r="E159"/>
  <c r="H162"/>
  <c r="F23" i="22"/>
  <c r="C35" i="21" s="1"/>
  <c r="C36" s="1"/>
  <c r="E213" i="53"/>
  <c r="E146"/>
  <c r="E225"/>
  <c r="F158"/>
  <c r="E158"/>
  <c r="G175"/>
  <c r="H175"/>
  <c r="G239"/>
  <c r="G164"/>
  <c r="H164"/>
  <c r="G231"/>
  <c r="G36" i="21"/>
  <c r="J51" i="61"/>
  <c r="G20" i="21"/>
  <c r="F30" i="84"/>
  <c r="F56" s="1"/>
  <c r="G237" i="53"/>
  <c r="G170"/>
  <c r="H163"/>
  <c r="G230"/>
  <c r="H155"/>
  <c r="G222"/>
  <c r="G9" i="42"/>
  <c r="F10"/>
  <c r="H21" s="1"/>
  <c r="H23" s="1"/>
  <c r="G178" i="53"/>
  <c r="G242"/>
  <c r="G173"/>
  <c r="H173"/>
  <c r="G229"/>
  <c r="G162"/>
  <c r="G221"/>
  <c r="G154"/>
  <c r="F24" i="84"/>
  <c r="F50" s="1"/>
  <c r="I231" i="53"/>
  <c r="I164"/>
  <c r="I23" i="22"/>
  <c r="F35" i="21" s="1"/>
  <c r="F36" s="1"/>
  <c r="J23" i="22"/>
  <c r="G35" i="21" s="1"/>
  <c r="F31" i="84"/>
  <c r="G90" i="83"/>
  <c r="G31" i="84" s="1"/>
  <c r="H166" i="53"/>
  <c r="G233"/>
  <c r="G166"/>
  <c r="I39" i="48"/>
  <c r="G176" i="53"/>
  <c r="H176"/>
  <c r="H158"/>
  <c r="G225"/>
  <c r="G158"/>
  <c r="J34" i="48"/>
  <c r="K34"/>
  <c r="D144" i="72"/>
  <c r="D145"/>
  <c r="D146"/>
  <c r="K23" i="48"/>
  <c r="K37" s="1"/>
  <c r="J32"/>
  <c r="J33"/>
  <c r="J35"/>
  <c r="J28"/>
  <c r="J36"/>
  <c r="J30"/>
  <c r="J38"/>
  <c r="J31"/>
  <c r="F84" i="83"/>
  <c r="H35" i="84"/>
  <c r="H36" s="1"/>
  <c r="G36"/>
  <c r="E34" i="48"/>
  <c r="F77" i="83"/>
  <c r="F20" i="21"/>
  <c r="D155" i="53"/>
  <c r="D222"/>
  <c r="G75" i="83"/>
  <c r="G71"/>
  <c r="H71" s="1"/>
  <c r="F78"/>
  <c r="D167" i="53"/>
  <c r="D234"/>
  <c r="G87" i="83"/>
  <c r="F81"/>
  <c r="G126"/>
  <c r="G50" i="53"/>
  <c r="G103" s="1"/>
  <c r="D130"/>
  <c r="F80" i="83"/>
  <c r="G129"/>
  <c r="G53" i="53"/>
  <c r="G106" s="1"/>
  <c r="H174" s="1"/>
  <c r="K29" i="48"/>
  <c r="E29"/>
  <c r="E39" s="1"/>
  <c r="J28" i="42"/>
  <c r="J29"/>
  <c r="J27"/>
  <c r="J37"/>
  <c r="J43" s="1"/>
  <c r="H30" i="21" s="1"/>
  <c r="F86" i="83"/>
  <c r="F79"/>
  <c r="K15" i="22"/>
  <c r="K8"/>
  <c r="K16"/>
  <c r="K9"/>
  <c r="K17"/>
  <c r="K10"/>
  <c r="K18"/>
  <c r="K11"/>
  <c r="K19"/>
  <c r="K13"/>
  <c r="K21"/>
  <c r="K14"/>
  <c r="K22"/>
  <c r="B34" i="84"/>
  <c r="F85" i="83"/>
  <c r="H133"/>
  <c r="I57" i="53" s="1"/>
  <c r="I110" s="1"/>
  <c r="H57"/>
  <c r="H110" s="1"/>
  <c r="J239"/>
  <c r="H121" i="83"/>
  <c r="I45" i="53" s="1"/>
  <c r="I98" s="1"/>
  <c r="H45"/>
  <c r="H98" s="1"/>
  <c r="K44" i="48"/>
  <c r="H132" i="83"/>
  <c r="I56" i="53" s="1"/>
  <c r="I109" s="1"/>
  <c r="H56"/>
  <c r="H109" s="1"/>
  <c r="H125" i="83"/>
  <c r="I49" i="53" s="1"/>
  <c r="I102" s="1"/>
  <c r="H49"/>
  <c r="H102" s="1"/>
  <c r="H109" i="83"/>
  <c r="I33" i="53" s="1"/>
  <c r="I86" s="1"/>
  <c r="H33"/>
  <c r="H86" s="1"/>
  <c r="C102" i="83"/>
  <c r="H128"/>
  <c r="I52" i="53" s="1"/>
  <c r="I105" s="1"/>
  <c r="H52"/>
  <c r="H105" s="1"/>
  <c r="I173" s="1"/>
  <c r="J240"/>
  <c r="J231"/>
  <c r="C43" i="48"/>
  <c r="H124" i="83"/>
  <c r="I48" i="53" s="1"/>
  <c r="I101" s="1"/>
  <c r="H48"/>
  <c r="H101" s="1"/>
  <c r="H114" i="83"/>
  <c r="I38" i="53" s="1"/>
  <c r="I91" s="1"/>
  <c r="H38"/>
  <c r="H91" s="1"/>
  <c r="H110" i="83"/>
  <c r="I34" i="53" s="1"/>
  <c r="I87" s="1"/>
  <c r="H34"/>
  <c r="H87" s="1"/>
  <c r="H118" i="83"/>
  <c r="I42" i="53" s="1"/>
  <c r="I95" s="1"/>
  <c r="H42"/>
  <c r="H95" s="1"/>
  <c r="H113" i="83"/>
  <c r="I37" i="53" s="1"/>
  <c r="I90" s="1"/>
  <c r="H37"/>
  <c r="H90" s="1"/>
  <c r="J124"/>
  <c r="I243"/>
  <c r="I205"/>
  <c r="I214"/>
  <c r="D69" i="81"/>
  <c r="H54" i="53"/>
  <c r="H107" s="1"/>
  <c r="D95" i="81"/>
  <c r="D97"/>
  <c r="D104"/>
  <c r="D106"/>
  <c r="E90"/>
  <c r="F90" s="1"/>
  <c r="G90" s="1"/>
  <c r="H90" s="1"/>
  <c r="H127" i="83"/>
  <c r="I51" i="53" s="1"/>
  <c r="I104" s="1"/>
  <c r="J172" s="1"/>
  <c r="H51"/>
  <c r="H104" s="1"/>
  <c r="I172" s="1"/>
  <c r="C123" i="83"/>
  <c r="C47" i="53"/>
  <c r="C100" s="1"/>
  <c r="C118" s="1"/>
  <c r="H117" i="83"/>
  <c r="I41" i="53" s="1"/>
  <c r="I94" s="1"/>
  <c r="H41"/>
  <c r="H94" s="1"/>
  <c r="D107" i="81"/>
  <c r="D105"/>
  <c r="D98"/>
  <c r="D96"/>
  <c r="D112" i="83"/>
  <c r="D103" i="81"/>
  <c r="D94"/>
  <c r="D84"/>
  <c r="D81"/>
  <c r="D77"/>
  <c r="D73"/>
  <c r="D80"/>
  <c r="D76"/>
  <c r="D72"/>
  <c r="D111"/>
  <c r="D102"/>
  <c r="D93"/>
  <c r="D92"/>
  <c r="D115" i="83"/>
  <c r="D83" i="81"/>
  <c r="B73" i="83"/>
  <c r="B47"/>
  <c r="D108" i="81"/>
  <c r="D99"/>
  <c r="D122" i="83"/>
  <c r="D111"/>
  <c r="D79" i="81"/>
  <c r="D75"/>
  <c r="D71"/>
  <c r="D74" i="83"/>
  <c r="J74" i="55"/>
  <c r="D120" i="83"/>
  <c r="D85" i="81"/>
  <c r="D116" i="83"/>
  <c r="D82" i="81"/>
  <c r="D78"/>
  <c r="D74"/>
  <c r="D70"/>
  <c r="J134" i="72"/>
  <c r="G38" i="55"/>
  <c r="H37"/>
  <c r="H38" s="1"/>
  <c r="F92" i="57"/>
  <c r="D8" i="62" s="1"/>
  <c r="C19" i="68" s="1"/>
  <c r="G12" i="57"/>
  <c r="D5" i="62" s="1"/>
  <c r="C16" i="68" s="1"/>
  <c r="G60" i="57"/>
  <c r="G62" s="1"/>
  <c r="D6" i="62" s="1"/>
  <c r="C17" i="68" s="1"/>
  <c r="F5" i="62"/>
  <c r="F77" i="57"/>
  <c r="D7" i="62" s="1"/>
  <c r="C18" i="68" s="1"/>
  <c r="H60" i="57"/>
  <c r="H62" s="1"/>
  <c r="G111" i="29"/>
  <c r="H97"/>
  <c r="G61"/>
  <c r="H12"/>
  <c r="C86" i="22"/>
  <c r="D86"/>
  <c r="E86"/>
  <c r="F86"/>
  <c r="C61"/>
  <c r="I56" l="1"/>
  <c r="K55"/>
  <c r="K56" s="1"/>
  <c r="H56"/>
  <c r="G56"/>
  <c r="F56"/>
  <c r="D56"/>
  <c r="C56"/>
  <c r="E56"/>
  <c r="F24" i="68"/>
  <c r="F134" i="29"/>
  <c r="F149"/>
  <c r="F179"/>
  <c r="F164"/>
  <c r="H35" i="61"/>
  <c r="E11" i="21"/>
  <c r="D24" i="68"/>
  <c r="D149" i="29"/>
  <c r="D164"/>
  <c r="D179"/>
  <c r="D134"/>
  <c r="C11" i="21"/>
  <c r="F35" i="61"/>
  <c r="D187" i="53"/>
  <c r="D250"/>
  <c r="E35" i="61"/>
  <c r="B11" i="21"/>
  <c r="G24" i="68"/>
  <c r="G134" i="29"/>
  <c r="G164"/>
  <c r="G149"/>
  <c r="G179"/>
  <c r="E120" i="83"/>
  <c r="E44" i="53"/>
  <c r="E97" s="1"/>
  <c r="E107" i="81"/>
  <c r="E24" i="53"/>
  <c r="E77" s="1"/>
  <c r="E106" i="81"/>
  <c r="E23" i="53"/>
  <c r="E76" s="1"/>
  <c r="I226"/>
  <c r="I159"/>
  <c r="J241"/>
  <c r="J177"/>
  <c r="J242"/>
  <c r="J178"/>
  <c r="K23" i="22"/>
  <c r="H35" i="21" s="1"/>
  <c r="H24" i="68"/>
  <c r="H134" i="29"/>
  <c r="H149"/>
  <c r="H179"/>
  <c r="H164"/>
  <c r="E28" i="55"/>
  <c r="E60" s="1"/>
  <c r="F59" i="81"/>
  <c r="E115" i="83"/>
  <c r="E39" i="53"/>
  <c r="E92" s="1"/>
  <c r="J175" i="72"/>
  <c r="J180" s="1"/>
  <c r="H29" i="21" s="1"/>
  <c r="E99" i="81"/>
  <c r="E16" i="53"/>
  <c r="E69" s="1"/>
  <c r="E102" i="81"/>
  <c r="E19" i="53"/>
  <c r="E72" s="1"/>
  <c r="E84" i="81"/>
  <c r="D30" i="72"/>
  <c r="D54" s="1"/>
  <c r="I229" i="53"/>
  <c r="I162"/>
  <c r="E104" i="81"/>
  <c r="E21" i="53"/>
  <c r="E74" s="1"/>
  <c r="J219"/>
  <c r="J205"/>
  <c r="J214"/>
  <c r="J243"/>
  <c r="J176"/>
  <c r="J265"/>
  <c r="J266"/>
  <c r="J267"/>
  <c r="J268"/>
  <c r="J152"/>
  <c r="J226"/>
  <c r="J159"/>
  <c r="J173"/>
  <c r="E113" i="81"/>
  <c r="E101"/>
  <c r="C115" i="53"/>
  <c r="G78" i="83"/>
  <c r="F19" i="84"/>
  <c r="F45" s="1"/>
  <c r="G35" i="61"/>
  <c r="D11" i="21"/>
  <c r="G18" i="55"/>
  <c r="G50" s="1"/>
  <c r="H49" i="81"/>
  <c r="H18" i="55" s="1"/>
  <c r="H50" s="1"/>
  <c r="A139" i="53"/>
  <c r="A206" s="1"/>
  <c r="A71"/>
  <c r="A134"/>
  <c r="A201" s="1"/>
  <c r="A66"/>
  <c r="E109" i="81"/>
  <c r="F109" s="1"/>
  <c r="G109" s="1"/>
  <c r="H109" s="1"/>
  <c r="E79"/>
  <c r="D25" i="72"/>
  <c r="D49" s="1"/>
  <c r="I222" i="53"/>
  <c r="I155"/>
  <c r="E81" i="81"/>
  <c r="D27" i="72"/>
  <c r="D51" s="1"/>
  <c r="E70" i="81"/>
  <c r="D16" i="72"/>
  <c r="D40" s="1"/>
  <c r="J99" i="55"/>
  <c r="J106" s="1"/>
  <c r="H28" i="21" s="1"/>
  <c r="E108" i="81"/>
  <c r="E25" i="53"/>
  <c r="E78" s="1"/>
  <c r="E111" i="81"/>
  <c r="E28" i="53"/>
  <c r="E81" s="1"/>
  <c r="E94" i="81"/>
  <c r="E11" i="53"/>
  <c r="E64" s="1"/>
  <c r="J229"/>
  <c r="J162"/>
  <c r="E97" i="81"/>
  <c r="E14" i="53"/>
  <c r="E67" s="1"/>
  <c r="I225"/>
  <c r="I158"/>
  <c r="I236"/>
  <c r="I169"/>
  <c r="D102" i="83"/>
  <c r="C13" i="84"/>
  <c r="G85" i="83"/>
  <c r="F26" i="84"/>
  <c r="F52" s="1"/>
  <c r="G79" i="83"/>
  <c r="F20" i="84"/>
  <c r="F46" s="1"/>
  <c r="G77" i="83"/>
  <c r="F18" i="84"/>
  <c r="F44" s="1"/>
  <c r="G83" i="83"/>
  <c r="F157" i="29"/>
  <c r="F142"/>
  <c r="F127"/>
  <c r="F34"/>
  <c r="F172"/>
  <c r="D157"/>
  <c r="D142"/>
  <c r="D127"/>
  <c r="D34"/>
  <c r="D172"/>
  <c r="E24" i="55"/>
  <c r="E56" s="1"/>
  <c r="F55" i="81"/>
  <c r="C24" i="68"/>
  <c r="C149" i="29"/>
  <c r="C134"/>
  <c r="C179"/>
  <c r="C164"/>
  <c r="A133" i="53"/>
  <c r="A200" s="1"/>
  <c r="A65"/>
  <c r="A171"/>
  <c r="A238" s="1"/>
  <c r="A103"/>
  <c r="E116" i="83"/>
  <c r="E40" i="53"/>
  <c r="E93" s="1"/>
  <c r="E74" i="83"/>
  <c r="D14" i="72"/>
  <c r="D38" s="1"/>
  <c r="C47" i="83"/>
  <c r="B11" i="55"/>
  <c r="B35" s="1"/>
  <c r="E72" i="81"/>
  <c r="D18" i="72"/>
  <c r="D42" s="1"/>
  <c r="E103" i="81"/>
  <c r="E20" i="53"/>
  <c r="E73" s="1"/>
  <c r="D235"/>
  <c r="D168"/>
  <c r="E95" i="81"/>
  <c r="E12" i="53"/>
  <c r="E65" s="1"/>
  <c r="J225"/>
  <c r="J158"/>
  <c r="J169"/>
  <c r="J236"/>
  <c r="I221"/>
  <c r="I154"/>
  <c r="I233"/>
  <c r="I166"/>
  <c r="G86" i="83"/>
  <c r="F27" i="84"/>
  <c r="F53" s="1"/>
  <c r="H129" i="83"/>
  <c r="I53" i="53" s="1"/>
  <c r="I106" s="1"/>
  <c r="J174" s="1"/>
  <c r="H53"/>
  <c r="H106" s="1"/>
  <c r="I174" s="1"/>
  <c r="H238"/>
  <c r="H171"/>
  <c r="H75" i="83"/>
  <c r="H16" i="84" s="1"/>
  <c r="H42" s="1"/>
  <c r="G16"/>
  <c r="G42" s="1"/>
  <c r="J39" i="48"/>
  <c r="I35" i="61"/>
  <c r="F11" i="21"/>
  <c r="F10"/>
  <c r="I38" i="61"/>
  <c r="H47" i="42"/>
  <c r="E157" i="29"/>
  <c r="E142"/>
  <c r="E127"/>
  <c r="E172"/>
  <c r="E34"/>
  <c r="E24" i="68"/>
  <c r="E134" i="29"/>
  <c r="E179"/>
  <c r="E149"/>
  <c r="E164"/>
  <c r="G30" i="55"/>
  <c r="G62" s="1"/>
  <c r="H61" i="81"/>
  <c r="H30" i="55" s="1"/>
  <c r="H62" s="1"/>
  <c r="L14" i="83"/>
  <c r="M12"/>
  <c r="E17" i="55"/>
  <c r="E49" s="1"/>
  <c r="F48" i="81"/>
  <c r="E29" i="55"/>
  <c r="E61" s="1"/>
  <c r="F60" i="81"/>
  <c r="A77" i="53"/>
  <c r="A145"/>
  <c r="A212" s="1"/>
  <c r="A141"/>
  <c r="A208" s="1"/>
  <c r="A73"/>
  <c r="J237"/>
  <c r="J170"/>
  <c r="E122" i="83"/>
  <c r="E46" i="53"/>
  <c r="E99" s="1"/>
  <c r="E78" i="81"/>
  <c r="D24" i="72"/>
  <c r="D48" s="1"/>
  <c r="E71" i="81"/>
  <c r="D17" i="72"/>
  <c r="D41" s="1"/>
  <c r="C73" i="83"/>
  <c r="B13" i="72"/>
  <c r="E76" i="81"/>
  <c r="D22" i="72"/>
  <c r="D46" s="1"/>
  <c r="E112" i="83"/>
  <c r="E36" i="53"/>
  <c r="E89" s="1"/>
  <c r="D123" i="83"/>
  <c r="D47" i="53"/>
  <c r="D100" s="1"/>
  <c r="I239"/>
  <c r="J175"/>
  <c r="I175"/>
  <c r="I230"/>
  <c r="I163"/>
  <c r="E112" i="81"/>
  <c r="J221" i="53"/>
  <c r="J154"/>
  <c r="J233"/>
  <c r="J166"/>
  <c r="B12" i="84"/>
  <c r="B37"/>
  <c r="G80" i="83"/>
  <c r="F21" i="84"/>
  <c r="F47" s="1"/>
  <c r="H126" i="83"/>
  <c r="I50" i="53" s="1"/>
  <c r="I103" s="1"/>
  <c r="H50"/>
  <c r="H103" s="1"/>
  <c r="G82" i="83"/>
  <c r="G40" i="84"/>
  <c r="G41"/>
  <c r="G76" i="83"/>
  <c r="J164" i="53"/>
  <c r="G10" i="42"/>
  <c r="I21" s="1"/>
  <c r="I23" s="1"/>
  <c r="H9"/>
  <c r="H10" s="1"/>
  <c r="J21" s="1"/>
  <c r="J23" s="1"/>
  <c r="C15" i="55"/>
  <c r="C47" s="1"/>
  <c r="D46" i="81"/>
  <c r="E27" i="55"/>
  <c r="E59" s="1"/>
  <c r="F58" i="81"/>
  <c r="G26" i="55"/>
  <c r="G58" s="1"/>
  <c r="H57" i="81"/>
  <c r="H26" i="55" s="1"/>
  <c r="H58" s="1"/>
  <c r="A173" i="53"/>
  <c r="A105"/>
  <c r="G44" i="81"/>
  <c r="F13" i="55"/>
  <c r="F45" s="1"/>
  <c r="E73" i="81"/>
  <c r="D19" i="72"/>
  <c r="D43" s="1"/>
  <c r="E93" i="81"/>
  <c r="E10" i="53"/>
  <c r="E63" s="1"/>
  <c r="E74" i="81"/>
  <c r="D20" i="72"/>
  <c r="D44" s="1"/>
  <c r="E82" i="81"/>
  <c r="D28" i="72"/>
  <c r="D52" s="1"/>
  <c r="E75" i="81"/>
  <c r="D21" i="72"/>
  <c r="D45" s="1"/>
  <c r="E83" i="81"/>
  <c r="D29" i="72"/>
  <c r="D53" s="1"/>
  <c r="E80" i="81"/>
  <c r="D26" i="72"/>
  <c r="D50" s="1"/>
  <c r="E96" i="81"/>
  <c r="E13" i="53"/>
  <c r="E66" s="1"/>
  <c r="E69" i="81"/>
  <c r="D15" i="72"/>
  <c r="D39" s="1"/>
  <c r="J230" i="53"/>
  <c r="J163"/>
  <c r="K43" i="48"/>
  <c r="K49" s="1"/>
  <c r="E43"/>
  <c r="E49" s="1"/>
  <c r="J43"/>
  <c r="J49" s="1"/>
  <c r="G43"/>
  <c r="G49" s="1"/>
  <c r="I43"/>
  <c r="I49" s="1"/>
  <c r="F43"/>
  <c r="F49" s="1"/>
  <c r="H43"/>
  <c r="H49" s="1"/>
  <c r="I237" i="53"/>
  <c r="I170"/>
  <c r="E110" i="81"/>
  <c r="J34" i="42"/>
  <c r="C119" i="53"/>
  <c r="G81" i="83"/>
  <c r="F22" i="84"/>
  <c r="F48" s="1"/>
  <c r="G88" i="83"/>
  <c r="H40" i="84"/>
  <c r="H41"/>
  <c r="G91" i="83"/>
  <c r="G32" i="84" s="1"/>
  <c r="G89" i="83"/>
  <c r="D43" i="81"/>
  <c r="C12" i="55"/>
  <c r="C44" s="1"/>
  <c r="A82" i="53"/>
  <c r="A150"/>
  <c r="A217" s="1"/>
  <c r="C19" i="55"/>
  <c r="C51" s="1"/>
  <c r="D50" i="81"/>
  <c r="G22" i="55"/>
  <c r="G54" s="1"/>
  <c r="H53" i="81"/>
  <c r="H22" i="55" s="1"/>
  <c r="H54" s="1"/>
  <c r="A74" i="53"/>
  <c r="A142"/>
  <c r="A209" s="1"/>
  <c r="A67"/>
  <c r="A135"/>
  <c r="A202" s="1"/>
  <c r="A140"/>
  <c r="A207" s="1"/>
  <c r="A72"/>
  <c r="C114"/>
  <c r="D254" s="1"/>
  <c r="H87" i="83"/>
  <c r="H28" i="84" s="1"/>
  <c r="H54" s="1"/>
  <c r="G28"/>
  <c r="G54" s="1"/>
  <c r="D253" i="53"/>
  <c r="G84" i="83"/>
  <c r="F25" i="84"/>
  <c r="F51" s="1"/>
  <c r="E39" i="61"/>
  <c r="B13" i="21"/>
  <c r="D47" i="81"/>
  <c r="C16" i="55"/>
  <c r="C48" s="1"/>
  <c r="D56" i="81"/>
  <c r="C25" i="55"/>
  <c r="C57" s="1"/>
  <c r="A68" i="53"/>
  <c r="A136"/>
  <c r="A203" s="1"/>
  <c r="E31" i="55"/>
  <c r="E63" s="1"/>
  <c r="F62" i="81"/>
  <c r="E100"/>
  <c r="F100" s="1"/>
  <c r="G100" s="1"/>
  <c r="H100" s="1"/>
  <c r="E98"/>
  <c r="E15" i="53"/>
  <c r="E68" s="1"/>
  <c r="E85" i="81"/>
  <c r="D31" i="72"/>
  <c r="D55" s="1"/>
  <c r="E111" i="83"/>
  <c r="E35" i="53"/>
  <c r="E88" s="1"/>
  <c r="E92" i="81"/>
  <c r="E9" i="53"/>
  <c r="E62" s="1"/>
  <c r="E77" i="81"/>
  <c r="D23" i="72"/>
  <c r="D47" s="1"/>
  <c r="E105" i="81"/>
  <c r="E22" i="53"/>
  <c r="E75" s="1"/>
  <c r="J222"/>
  <c r="J155"/>
  <c r="I241"/>
  <c r="I177"/>
  <c r="I242"/>
  <c r="I178"/>
  <c r="C116"/>
  <c r="K35" i="48"/>
  <c r="K28"/>
  <c r="K36"/>
  <c r="K30"/>
  <c r="K38"/>
  <c r="K31"/>
  <c r="K33"/>
  <c r="K52"/>
  <c r="K56" s="1"/>
  <c r="H31" i="21" s="1"/>
  <c r="K32" i="48"/>
  <c r="C23" i="55"/>
  <c r="C55" s="1"/>
  <c r="D54" i="81"/>
  <c r="F45"/>
  <c r="E14" i="55"/>
  <c r="E46" s="1"/>
  <c r="G21"/>
  <c r="G53" s="1"/>
  <c r="H52" i="81"/>
  <c r="H21" i="55" s="1"/>
  <c r="H53" s="1"/>
  <c r="A96" i="53"/>
  <c r="A164"/>
  <c r="A231" s="1"/>
  <c r="D51" i="81"/>
  <c r="C20" i="55"/>
  <c r="C52" s="1"/>
  <c r="A76" i="53"/>
  <c r="A144"/>
  <c r="A211" s="1"/>
  <c r="F7" i="62"/>
  <c r="F8"/>
  <c r="C37" i="22"/>
  <c r="I38" s="1"/>
  <c r="C49"/>
  <c r="I50" s="1"/>
  <c r="E43" i="21"/>
  <c r="F87" i="22"/>
  <c r="D43" i="21"/>
  <c r="E87" i="22"/>
  <c r="C43" i="21"/>
  <c r="D87" i="22"/>
  <c r="B43" i="21"/>
  <c r="C87" i="22"/>
  <c r="C43"/>
  <c r="K43" s="1"/>
  <c r="F6" i="62"/>
  <c r="F50" i="22"/>
  <c r="H50"/>
  <c r="I62"/>
  <c r="G62"/>
  <c r="F62"/>
  <c r="E62"/>
  <c r="D62"/>
  <c r="C62"/>
  <c r="C63" s="1"/>
  <c r="K61"/>
  <c r="H62"/>
  <c r="C58" l="1"/>
  <c r="D55" s="1"/>
  <c r="D58" s="1"/>
  <c r="E55" s="1"/>
  <c r="E58" s="1"/>
  <c r="F55" s="1"/>
  <c r="F58" s="1"/>
  <c r="G55" s="1"/>
  <c r="G58" s="1"/>
  <c r="H55" s="1"/>
  <c r="H58" s="1"/>
  <c r="I55" s="1"/>
  <c r="I58" s="1"/>
  <c r="C57"/>
  <c r="D57" s="1"/>
  <c r="E57" s="1"/>
  <c r="F57" s="1"/>
  <c r="G57" s="1"/>
  <c r="H57" s="1"/>
  <c r="I57" s="1"/>
  <c r="K58"/>
  <c r="L55" s="1"/>
  <c r="K57"/>
  <c r="D96" i="72"/>
  <c r="D97"/>
  <c r="F203" i="53"/>
  <c r="F136"/>
  <c r="E56" i="81"/>
  <c r="D25" i="55"/>
  <c r="D57" s="1"/>
  <c r="H84" i="83"/>
  <c r="H25" i="84" s="1"/>
  <c r="H51" s="1"/>
  <c r="G25"/>
  <c r="G51" s="1"/>
  <c r="H88" i="83"/>
  <c r="H29" i="84" s="1"/>
  <c r="H55" s="1"/>
  <c r="G29"/>
  <c r="G55" s="1"/>
  <c r="E21" i="21"/>
  <c r="H48" i="61"/>
  <c r="H57" i="48"/>
  <c r="H59" s="1"/>
  <c r="F83" i="81"/>
  <c r="E29" i="72"/>
  <c r="E53" s="1"/>
  <c r="F93" i="81"/>
  <c r="F10" i="53"/>
  <c r="F63" s="1"/>
  <c r="H76" i="83"/>
  <c r="H17" i="84" s="1"/>
  <c r="H43" s="1"/>
  <c r="G17"/>
  <c r="G43" s="1"/>
  <c r="F234" i="53"/>
  <c r="F167"/>
  <c r="G60" i="81"/>
  <c r="F29" i="55"/>
  <c r="F61" s="1"/>
  <c r="J35" i="61"/>
  <c r="G11" i="21"/>
  <c r="H86" i="83"/>
  <c r="H27" i="84" s="1"/>
  <c r="H53" s="1"/>
  <c r="G27"/>
  <c r="G53" s="1"/>
  <c r="D79" i="72"/>
  <c r="D80"/>
  <c r="F149" i="53"/>
  <c r="F216"/>
  <c r="F115" i="83"/>
  <c r="F39" i="53"/>
  <c r="F92" s="1"/>
  <c r="F211"/>
  <c r="F144"/>
  <c r="F77" i="81"/>
  <c r="E23" i="72"/>
  <c r="E47" s="1"/>
  <c r="F98" i="81"/>
  <c r="F15" i="53"/>
  <c r="F68" s="1"/>
  <c r="C21" i="21"/>
  <c r="F48" i="61"/>
  <c r="F57" i="48"/>
  <c r="F59" s="1"/>
  <c r="G58" i="81"/>
  <c r="F27" i="55"/>
  <c r="F59" s="1"/>
  <c r="D157" i="84"/>
  <c r="E18" i="61" s="1"/>
  <c r="F9" s="1"/>
  <c r="D158" i="84"/>
  <c r="F76" i="81"/>
  <c r="E22" i="72"/>
  <c r="E46" s="1"/>
  <c r="F122" i="83"/>
  <c r="F46" i="53"/>
  <c r="F99" s="1"/>
  <c r="F133"/>
  <c r="F200"/>
  <c r="F72" i="81"/>
  <c r="E18" i="72"/>
  <c r="E42" s="1"/>
  <c r="G55" i="81"/>
  <c r="F24" i="55"/>
  <c r="F56" s="1"/>
  <c r="H79" i="83"/>
  <c r="H20" i="84" s="1"/>
  <c r="H46" s="1"/>
  <c r="G20"/>
  <c r="G46" s="1"/>
  <c r="F111" i="81"/>
  <c r="F28" i="53"/>
  <c r="F81" s="1"/>
  <c r="F81" i="81"/>
  <c r="E27" i="72"/>
  <c r="E51" s="1"/>
  <c r="H78" i="83"/>
  <c r="H19" i="84" s="1"/>
  <c r="H45" s="1"/>
  <c r="G19"/>
  <c r="G45" s="1"/>
  <c r="F84" i="81"/>
  <c r="E30" i="72"/>
  <c r="E54" s="1"/>
  <c r="G59" i="81"/>
  <c r="F28" i="55"/>
  <c r="F60" s="1"/>
  <c r="F106" i="81"/>
  <c r="F23" i="53"/>
  <c r="F76" s="1"/>
  <c r="F173" i="29"/>
  <c r="F35"/>
  <c r="F128"/>
  <c r="F143"/>
  <c r="F158"/>
  <c r="G45" i="81"/>
  <c r="F14" i="55"/>
  <c r="F46" s="1"/>
  <c r="F197" i="53"/>
  <c r="F130"/>
  <c r="D16" i="55"/>
  <c r="D48" s="1"/>
  <c r="E47" i="81"/>
  <c r="D12" i="55"/>
  <c r="D44" s="1"/>
  <c r="E43" i="81"/>
  <c r="H81" i="83"/>
  <c r="H22" i="84" s="1"/>
  <c r="H48" s="1"/>
  <c r="G22"/>
  <c r="G48" s="1"/>
  <c r="F21" i="21"/>
  <c r="I48" i="61"/>
  <c r="I57" i="48"/>
  <c r="I59" s="1"/>
  <c r="F69" i="81"/>
  <c r="E15" i="72"/>
  <c r="E39" s="1"/>
  <c r="F75" i="81"/>
  <c r="E21" i="72"/>
  <c r="E45" s="1"/>
  <c r="F73" i="81"/>
  <c r="E19" i="72"/>
  <c r="E43" s="1"/>
  <c r="B37"/>
  <c r="B32"/>
  <c r="G48" i="81"/>
  <c r="F17" i="55"/>
  <c r="F49" s="1"/>
  <c r="F95" i="81"/>
  <c r="F12" i="53"/>
  <c r="F65" s="1"/>
  <c r="B40" i="55"/>
  <c r="D81" s="1"/>
  <c r="B36"/>
  <c r="F202" i="53"/>
  <c r="F135"/>
  <c r="F213"/>
  <c r="F146"/>
  <c r="D183"/>
  <c r="D246"/>
  <c r="F207"/>
  <c r="F140"/>
  <c r="F212"/>
  <c r="F145"/>
  <c r="D173" i="29"/>
  <c r="D128"/>
  <c r="D143"/>
  <c r="D158"/>
  <c r="D35"/>
  <c r="D23" i="55"/>
  <c r="D55" s="1"/>
  <c r="E54" i="81"/>
  <c r="F92"/>
  <c r="F9" i="53"/>
  <c r="F62" s="1"/>
  <c r="G62" i="81"/>
  <c r="F31" i="55"/>
  <c r="F63" s="1"/>
  <c r="D188" i="53"/>
  <c r="D251"/>
  <c r="D21" i="21"/>
  <c r="G48" i="61"/>
  <c r="G57" i="48"/>
  <c r="G59" s="1"/>
  <c r="F201" i="53"/>
  <c r="F134"/>
  <c r="D15" i="55"/>
  <c r="D47" s="1"/>
  <c r="E46" i="81"/>
  <c r="H82" i="83"/>
  <c r="H23" i="84" s="1"/>
  <c r="H49" s="1"/>
  <c r="G23"/>
  <c r="G49" s="1"/>
  <c r="D73" i="83"/>
  <c r="C13" i="72"/>
  <c r="D47" i="83"/>
  <c r="C11" i="55"/>
  <c r="C35" s="1"/>
  <c r="H85" i="83"/>
  <c r="H26" i="84" s="1"/>
  <c r="H52" s="1"/>
  <c r="G26"/>
  <c r="G52" s="1"/>
  <c r="F97" i="81"/>
  <c r="F14" i="53"/>
  <c r="F67" s="1"/>
  <c r="F108" i="81"/>
  <c r="F25" i="53"/>
  <c r="F78" s="1"/>
  <c r="F101" i="81"/>
  <c r="F18" i="53"/>
  <c r="F71" s="1"/>
  <c r="F102" i="81"/>
  <c r="F19" i="53"/>
  <c r="F72" s="1"/>
  <c r="F107" i="81"/>
  <c r="F24" i="53"/>
  <c r="F77" s="1"/>
  <c r="D20" i="55"/>
  <c r="D52" s="1"/>
  <c r="E51" i="81"/>
  <c r="K39" i="48"/>
  <c r="F223" i="53"/>
  <c r="F156"/>
  <c r="D182"/>
  <c r="D191" s="1"/>
  <c r="D245"/>
  <c r="H89" i="83"/>
  <c r="H30" i="84" s="1"/>
  <c r="H56" s="1"/>
  <c r="G30"/>
  <c r="G56" s="1"/>
  <c r="H20" i="21"/>
  <c r="K51" i="61"/>
  <c r="J45" i="42"/>
  <c r="J47" s="1"/>
  <c r="G21" i="21"/>
  <c r="J48" i="61"/>
  <c r="J57" i="48"/>
  <c r="J59" s="1"/>
  <c r="F96" i="81"/>
  <c r="F13" i="53"/>
  <c r="F66" s="1"/>
  <c r="F82" i="81"/>
  <c r="E28" i="72"/>
  <c r="E52" s="1"/>
  <c r="G13" i="55"/>
  <c r="G45" s="1"/>
  <c r="H44" i="81"/>
  <c r="H13" i="55" s="1"/>
  <c r="H45" s="1"/>
  <c r="I238" i="53"/>
  <c r="I171"/>
  <c r="E168"/>
  <c r="E235"/>
  <c r="D118"/>
  <c r="D114"/>
  <c r="E254" s="1"/>
  <c r="D115"/>
  <c r="D116"/>
  <c r="D119"/>
  <c r="N12" i="83"/>
  <c r="N14" s="1"/>
  <c r="M14"/>
  <c r="G157" i="29"/>
  <c r="G142"/>
  <c r="G127"/>
  <c r="G34"/>
  <c r="G172"/>
  <c r="D62" i="72"/>
  <c r="D63"/>
  <c r="F156"/>
  <c r="E159" i="84"/>
  <c r="C39"/>
  <c r="C34"/>
  <c r="F113" i="81"/>
  <c r="F30" i="53"/>
  <c r="F83" s="1"/>
  <c r="J273"/>
  <c r="H32" i="21" s="1"/>
  <c r="H36" s="1"/>
  <c r="F209" i="53"/>
  <c r="F142"/>
  <c r="F204"/>
  <c r="F137"/>
  <c r="F165"/>
  <c r="F232"/>
  <c r="C35" i="29"/>
  <c r="C173"/>
  <c r="C128"/>
  <c r="C158"/>
  <c r="C143"/>
  <c r="G38" i="22"/>
  <c r="F111" i="83"/>
  <c r="F35" i="53"/>
  <c r="F88" s="1"/>
  <c r="C130" i="29"/>
  <c r="C37"/>
  <c r="C145"/>
  <c r="C160"/>
  <c r="C175"/>
  <c r="D19" i="55"/>
  <c r="D51" s="1"/>
  <c r="E50" i="81"/>
  <c r="F110"/>
  <c r="F27" i="53"/>
  <c r="F80" s="1"/>
  <c r="E48" i="61"/>
  <c r="B21" i="21"/>
  <c r="E57" i="48"/>
  <c r="E59" s="1"/>
  <c r="H10" i="21"/>
  <c r="K38" i="61"/>
  <c r="J238" i="53"/>
  <c r="J171"/>
  <c r="E123" i="83"/>
  <c r="E47" i="53"/>
  <c r="E100" s="1"/>
  <c r="E118" s="1"/>
  <c r="F71" i="81"/>
  <c r="E17" i="72"/>
  <c r="E41" s="1"/>
  <c r="F74" i="83"/>
  <c r="E14" i="72"/>
  <c r="E38" s="1"/>
  <c r="H83" i="83"/>
  <c r="H24" i="84" s="1"/>
  <c r="H50" s="1"/>
  <c r="G24"/>
  <c r="G50" s="1"/>
  <c r="E102" i="83"/>
  <c r="D13" i="84"/>
  <c r="F79" i="81"/>
  <c r="E25" i="72"/>
  <c r="E49" s="1"/>
  <c r="F104" i="81"/>
  <c r="F21" i="53"/>
  <c r="F74" s="1"/>
  <c r="F99" i="81"/>
  <c r="F16" i="53"/>
  <c r="F69" s="1"/>
  <c r="F120" i="83"/>
  <c r="F44" i="53"/>
  <c r="F97" s="1"/>
  <c r="F210"/>
  <c r="F143"/>
  <c r="H21" i="21"/>
  <c r="K48" i="61"/>
  <c r="K57" i="48"/>
  <c r="F80" i="81"/>
  <c r="E26" i="72"/>
  <c r="E50" s="1"/>
  <c r="F74" i="81"/>
  <c r="E20" i="72"/>
  <c r="E44" s="1"/>
  <c r="J38" i="61"/>
  <c r="G10" i="21"/>
  <c r="I47" i="42"/>
  <c r="F112" i="81"/>
  <c r="F29" i="53"/>
  <c r="F82" s="1"/>
  <c r="F157"/>
  <c r="F224"/>
  <c r="G35" i="29"/>
  <c r="G173"/>
  <c r="G128"/>
  <c r="G143"/>
  <c r="G158"/>
  <c r="F208" i="53"/>
  <c r="F141"/>
  <c r="F228"/>
  <c r="F161"/>
  <c r="F199"/>
  <c r="F132"/>
  <c r="D71" i="72"/>
  <c r="D72"/>
  <c r="E173" i="29"/>
  <c r="E35"/>
  <c r="E143"/>
  <c r="E158"/>
  <c r="E128"/>
  <c r="D184" i="53"/>
  <c r="D247"/>
  <c r="F105" i="81"/>
  <c r="F22" i="53"/>
  <c r="F75" s="1"/>
  <c r="F85" i="81"/>
  <c r="E31" i="72"/>
  <c r="E55" s="1"/>
  <c r="F131" i="53"/>
  <c r="F198"/>
  <c r="H80" i="83"/>
  <c r="H21" i="84" s="1"/>
  <c r="H47" s="1"/>
  <c r="G21"/>
  <c r="G47" s="1"/>
  <c r="F112" i="83"/>
  <c r="F36" i="53"/>
  <c r="F89" s="1"/>
  <c r="F78" i="81"/>
  <c r="E24" i="72"/>
  <c r="E48" s="1"/>
  <c r="F103" i="81"/>
  <c r="F20" i="53"/>
  <c r="F73" s="1"/>
  <c r="F116" i="83"/>
  <c r="F40" i="53"/>
  <c r="F93" s="1"/>
  <c r="H77" i="83"/>
  <c r="H18" i="84" s="1"/>
  <c r="H44" s="1"/>
  <c r="G18"/>
  <c r="G44" s="1"/>
  <c r="F94" i="81"/>
  <c r="F11" i="53"/>
  <c r="F64" s="1"/>
  <c r="F70" i="81"/>
  <c r="E16" i="72"/>
  <c r="E40" s="1"/>
  <c r="F160" i="53"/>
  <c r="F227"/>
  <c r="F12" i="62"/>
  <c r="E19" s="1"/>
  <c r="B34" i="69" s="1"/>
  <c r="C34" s="1"/>
  <c r="D34" s="1"/>
  <c r="E34" s="1"/>
  <c r="F34" s="1"/>
  <c r="G34" s="1"/>
  <c r="H34" s="1"/>
  <c r="K37" i="22"/>
  <c r="K38" s="1"/>
  <c r="K39" s="1"/>
  <c r="H38"/>
  <c r="H44"/>
  <c r="C38"/>
  <c r="D38"/>
  <c r="E38"/>
  <c r="F38"/>
  <c r="D50"/>
  <c r="K49"/>
  <c r="K50" s="1"/>
  <c r="D44"/>
  <c r="C50"/>
  <c r="C52" s="1"/>
  <c r="D49" s="1"/>
  <c r="E50"/>
  <c r="G50"/>
  <c r="C65"/>
  <c r="B13" i="69" s="1"/>
  <c r="F44" i="22"/>
  <c r="I44"/>
  <c r="I66" s="1"/>
  <c r="C44"/>
  <c r="C45" s="1"/>
  <c r="E44"/>
  <c r="G44"/>
  <c r="G66" s="1"/>
  <c r="D12" i="29"/>
  <c r="D97"/>
  <c r="C61"/>
  <c r="C111"/>
  <c r="B18" i="69"/>
  <c r="C18" s="1"/>
  <c r="D18" s="1"/>
  <c r="E18" s="1"/>
  <c r="F18" s="1"/>
  <c r="G18" s="1"/>
  <c r="H18" s="1"/>
  <c r="E97" i="29"/>
  <c r="D61"/>
  <c r="D111"/>
  <c r="E12"/>
  <c r="E111"/>
  <c r="F97"/>
  <c r="F12"/>
  <c r="E61"/>
  <c r="G97"/>
  <c r="F61"/>
  <c r="F111"/>
  <c r="G12"/>
  <c r="C64" i="22"/>
  <c r="D61" s="1"/>
  <c r="D64" s="1"/>
  <c r="E61" s="1"/>
  <c r="E64" s="1"/>
  <c r="F61" s="1"/>
  <c r="F64" s="1"/>
  <c r="G61" s="1"/>
  <c r="G64" s="1"/>
  <c r="H61" s="1"/>
  <c r="H64" s="1"/>
  <c r="I61" s="1"/>
  <c r="I64" s="1"/>
  <c r="D63"/>
  <c r="E63" s="1"/>
  <c r="F63" s="1"/>
  <c r="G63" s="1"/>
  <c r="H63" s="1"/>
  <c r="I63" s="1"/>
  <c r="C51"/>
  <c r="K44"/>
  <c r="K45" s="1"/>
  <c r="K62"/>
  <c r="K63" s="1"/>
  <c r="K65"/>
  <c r="L56" l="1"/>
  <c r="L58" s="1"/>
  <c r="M55" s="1"/>
  <c r="L57"/>
  <c r="F250" i="53"/>
  <c r="F187"/>
  <c r="I24" i="68"/>
  <c r="I149" i="29"/>
  <c r="I134"/>
  <c r="I179"/>
  <c r="I164"/>
  <c r="E34" i="61"/>
  <c r="B12" i="21"/>
  <c r="G97" i="81"/>
  <c r="G14" i="53"/>
  <c r="G67" s="1"/>
  <c r="G94" i="81"/>
  <c r="G11" i="53"/>
  <c r="G64" s="1"/>
  <c r="G74" i="83"/>
  <c r="F14" i="72"/>
  <c r="F38" s="1"/>
  <c r="G218" i="53"/>
  <c r="G151"/>
  <c r="G201"/>
  <c r="G134"/>
  <c r="G206"/>
  <c r="G139"/>
  <c r="C40" i="55"/>
  <c r="E81" s="1"/>
  <c r="C36"/>
  <c r="G95" i="81"/>
  <c r="G12" i="53"/>
  <c r="G65" s="1"/>
  <c r="E114"/>
  <c r="G77" i="81"/>
  <c r="F23" i="72"/>
  <c r="F47" s="1"/>
  <c r="E71"/>
  <c r="E72"/>
  <c r="G78" i="81"/>
  <c r="F24" i="72"/>
  <c r="F48" s="1"/>
  <c r="G217" i="53"/>
  <c r="G150"/>
  <c r="G80" i="81"/>
  <c r="F26" i="72"/>
  <c r="F50" s="1"/>
  <c r="G165" i="53"/>
  <c r="G232"/>
  <c r="G79" i="81"/>
  <c r="F25" i="72"/>
  <c r="F49" s="1"/>
  <c r="I34" i="29"/>
  <c r="I157"/>
  <c r="I142"/>
  <c r="I127"/>
  <c r="I172"/>
  <c r="G30" i="53"/>
  <c r="G83" s="1"/>
  <c r="G113" i="81"/>
  <c r="F144" i="72"/>
  <c r="F145"/>
  <c r="F146"/>
  <c r="E251" i="53"/>
  <c r="E188"/>
  <c r="G96" i="81"/>
  <c r="G13" i="53"/>
  <c r="G66" s="1"/>
  <c r="G101" i="81"/>
  <c r="G18" i="53"/>
  <c r="G71" s="1"/>
  <c r="E47" i="83"/>
  <c r="D11" i="55"/>
  <c r="D35" s="1"/>
  <c r="G31"/>
  <c r="G63" s="1"/>
  <c r="H62" i="81"/>
  <c r="H31" i="55" s="1"/>
  <c r="H63" s="1"/>
  <c r="G75" i="81"/>
  <c r="F21" i="72"/>
  <c r="F45" s="1"/>
  <c r="E12" i="55"/>
  <c r="E44" s="1"/>
  <c r="F43" i="81"/>
  <c r="E115" i="53"/>
  <c r="G84" i="81"/>
  <c r="F30" i="72"/>
  <c r="F54" s="1"/>
  <c r="G167" i="53"/>
  <c r="G234"/>
  <c r="G27" i="55"/>
  <c r="G59" s="1"/>
  <c r="H58" i="81"/>
  <c r="H27" i="55" s="1"/>
  <c r="H59" s="1"/>
  <c r="G29"/>
  <c r="G61" s="1"/>
  <c r="H60" i="81"/>
  <c r="H29" i="55" s="1"/>
  <c r="H61" s="1"/>
  <c r="G83" i="81"/>
  <c r="F29" i="72"/>
  <c r="F53" s="1"/>
  <c r="K40" i="22"/>
  <c r="L37" s="1"/>
  <c r="G157" i="53"/>
  <c r="G224"/>
  <c r="G112" i="81"/>
  <c r="G29" i="53"/>
  <c r="G82" s="1"/>
  <c r="G120" i="83"/>
  <c r="G44" i="53"/>
  <c r="G97" s="1"/>
  <c r="D39" i="84"/>
  <c r="D34"/>
  <c r="F159"/>
  <c r="G71" i="81"/>
  <c r="F17" i="72"/>
  <c r="F41" s="1"/>
  <c r="E247" i="53"/>
  <c r="E184"/>
  <c r="E15" i="61"/>
  <c r="G146" i="53"/>
  <c r="G213"/>
  <c r="G130"/>
  <c r="G197"/>
  <c r="G122" i="83"/>
  <c r="G46" i="53"/>
  <c r="G99" s="1"/>
  <c r="E25" i="55"/>
  <c r="E57" s="1"/>
  <c r="F56" i="81"/>
  <c r="G116" i="83"/>
  <c r="G40" i="53"/>
  <c r="G93" s="1"/>
  <c r="G112" i="83"/>
  <c r="G36" i="53"/>
  <c r="G89" s="1"/>
  <c r="G85" i="81"/>
  <c r="F31" i="72"/>
  <c r="F55" s="1"/>
  <c r="F102" i="83"/>
  <c r="E13" i="84"/>
  <c r="F168" i="53"/>
  <c r="F235"/>
  <c r="C12" i="84"/>
  <c r="C37"/>
  <c r="G212" i="53"/>
  <c r="G145"/>
  <c r="G108" i="81"/>
  <c r="G25" i="53"/>
  <c r="G78" s="1"/>
  <c r="C37" i="72"/>
  <c r="C32"/>
  <c r="G92" i="81"/>
  <c r="G9" i="53"/>
  <c r="G62" s="1"/>
  <c r="G17" i="55"/>
  <c r="G49" s="1"/>
  <c r="H48" i="81"/>
  <c r="H17" i="55" s="1"/>
  <c r="H49" s="1"/>
  <c r="G69" i="81"/>
  <c r="F15" i="72"/>
  <c r="F39" s="1"/>
  <c r="E16" i="55"/>
  <c r="E48" s="1"/>
  <c r="F47" i="81"/>
  <c r="E116" i="53"/>
  <c r="H55" i="81"/>
  <c r="H24" i="55" s="1"/>
  <c r="H56" s="1"/>
  <c r="G24"/>
  <c r="G56" s="1"/>
  <c r="G99" i="81"/>
  <c r="G16" i="53"/>
  <c r="G69" s="1"/>
  <c r="G228"/>
  <c r="G161"/>
  <c r="G210"/>
  <c r="G143"/>
  <c r="H34" i="29"/>
  <c r="H157"/>
  <c r="H142"/>
  <c r="H127"/>
  <c r="H172"/>
  <c r="G204" i="53"/>
  <c r="G137"/>
  <c r="F123" i="83"/>
  <c r="F47" i="53"/>
  <c r="F100" s="1"/>
  <c r="F114" s="1"/>
  <c r="E156" i="84"/>
  <c r="C62"/>
  <c r="C136" s="1"/>
  <c r="E246" i="53"/>
  <c r="E183"/>
  <c r="G107" i="81"/>
  <c r="G24" i="53"/>
  <c r="G77" s="1"/>
  <c r="G202"/>
  <c r="G135"/>
  <c r="E73" i="83"/>
  <c r="D13" i="72"/>
  <c r="E23" i="55"/>
  <c r="E55" s="1"/>
  <c r="F54" i="81"/>
  <c r="B12" i="72"/>
  <c r="D159"/>
  <c r="B35"/>
  <c r="G211" i="53"/>
  <c r="G144"/>
  <c r="E79" i="72"/>
  <c r="E80"/>
  <c r="G76" i="81"/>
  <c r="F22" i="72"/>
  <c r="F46" s="1"/>
  <c r="G227" i="53"/>
  <c r="G160"/>
  <c r="B10" i="55"/>
  <c r="B43"/>
  <c r="B59" i="72"/>
  <c r="B60"/>
  <c r="B123" s="1"/>
  <c r="D155"/>
  <c r="G14" i="55"/>
  <c r="G46" s="1"/>
  <c r="H45" i="81"/>
  <c r="H14" i="55" s="1"/>
  <c r="H46" s="1"/>
  <c r="G106" i="81"/>
  <c r="G23" i="53"/>
  <c r="G76" s="1"/>
  <c r="G81" i="81"/>
  <c r="F27" i="72"/>
  <c r="F51" s="1"/>
  <c r="G72" i="81"/>
  <c r="F18" i="72"/>
  <c r="F42" s="1"/>
  <c r="G203" i="53"/>
  <c r="G136"/>
  <c r="G115" i="83"/>
  <c r="G39" i="53"/>
  <c r="G92" s="1"/>
  <c r="H35" i="29"/>
  <c r="H173"/>
  <c r="H158"/>
  <c r="H128"/>
  <c r="H143"/>
  <c r="G105" i="81"/>
  <c r="G22" i="53"/>
  <c r="G75" s="1"/>
  <c r="G215"/>
  <c r="G148"/>
  <c r="G70" i="81"/>
  <c r="F16" i="72"/>
  <c r="F40" s="1"/>
  <c r="G208" i="53"/>
  <c r="G141"/>
  <c r="G209"/>
  <c r="G142"/>
  <c r="G110" i="81"/>
  <c r="G27" i="53"/>
  <c r="G80" s="1"/>
  <c r="G156"/>
  <c r="G223"/>
  <c r="E250"/>
  <c r="E187"/>
  <c r="H11" i="21"/>
  <c r="K35" i="61"/>
  <c r="K59" i="48"/>
  <c r="G140" i="53"/>
  <c r="G207"/>
  <c r="G216"/>
  <c r="G149"/>
  <c r="G98" i="81"/>
  <c r="G15" i="53"/>
  <c r="G68" s="1"/>
  <c r="G131"/>
  <c r="G198"/>
  <c r="E245"/>
  <c r="F15" i="61" s="1"/>
  <c r="E182" i="53"/>
  <c r="E191" s="1"/>
  <c r="D66" i="22"/>
  <c r="G132" i="53"/>
  <c r="G199"/>
  <c r="G103" i="81"/>
  <c r="G20" i="53"/>
  <c r="G73" s="1"/>
  <c r="G74" i="81"/>
  <c r="F20" i="72"/>
  <c r="F44" s="1"/>
  <c r="G104" i="81"/>
  <c r="G21" i="53"/>
  <c r="G74" s="1"/>
  <c r="E63" i="72"/>
  <c r="G156"/>
  <c r="E62"/>
  <c r="E19" i="55"/>
  <c r="E51" s="1"/>
  <c r="F50" i="81"/>
  <c r="G111" i="83"/>
  <c r="G35" i="53"/>
  <c r="G88" s="1"/>
  <c r="E253"/>
  <c r="G82" i="81"/>
  <c r="F28" i="72"/>
  <c r="F52" s="1"/>
  <c r="E20" i="55"/>
  <c r="E52" s="1"/>
  <c r="F51" i="81"/>
  <c r="G102"/>
  <c r="G19" i="53"/>
  <c r="G72" s="1"/>
  <c r="E15" i="55"/>
  <c r="E47" s="1"/>
  <c r="F46" i="81"/>
  <c r="G200" i="53"/>
  <c r="G133"/>
  <c r="G73" i="81"/>
  <c r="F19" i="72"/>
  <c r="F43" s="1"/>
  <c r="E119" i="53"/>
  <c r="G28" i="55"/>
  <c r="G60" s="1"/>
  <c r="H59" i="81"/>
  <c r="H28" i="55" s="1"/>
  <c r="H60" s="1"/>
  <c r="G111" i="81"/>
  <c r="G28" i="53"/>
  <c r="G81" s="1"/>
  <c r="E96" i="72"/>
  <c r="E97"/>
  <c r="G93" i="81"/>
  <c r="G10" i="53"/>
  <c r="G63" s="1"/>
  <c r="C46" i="22"/>
  <c r="D43" s="1"/>
  <c r="H66"/>
  <c r="G14" i="69" s="1"/>
  <c r="D46" i="22"/>
  <c r="E43" s="1"/>
  <c r="E46" s="1"/>
  <c r="F43" s="1"/>
  <c r="F46" s="1"/>
  <c r="G43" s="1"/>
  <c r="G46" s="1"/>
  <c r="H43" s="1"/>
  <c r="H46" s="1"/>
  <c r="I43" s="1"/>
  <c r="I46" s="1"/>
  <c r="C9" i="68"/>
  <c r="D45" i="22"/>
  <c r="E45" s="1"/>
  <c r="F45" s="1"/>
  <c r="G45" s="1"/>
  <c r="H45" s="1"/>
  <c r="I45" s="1"/>
  <c r="C40"/>
  <c r="D37" s="1"/>
  <c r="D40" s="1"/>
  <c r="E37" s="1"/>
  <c r="E40" s="1"/>
  <c r="F37" s="1"/>
  <c r="F40" s="1"/>
  <c r="G37" s="1"/>
  <c r="G40" s="1"/>
  <c r="H37" s="1"/>
  <c r="H40" s="1"/>
  <c r="I37" s="1"/>
  <c r="I40" s="1"/>
  <c r="C39"/>
  <c r="D39" s="1"/>
  <c r="E39" s="1"/>
  <c r="F39" s="1"/>
  <c r="G39" s="1"/>
  <c r="H39" s="1"/>
  <c r="I39" s="1"/>
  <c r="F66"/>
  <c r="E14" i="69" s="1"/>
  <c r="C66" i="22"/>
  <c r="B14" i="69" s="1"/>
  <c r="B15" s="1"/>
  <c r="E66" i="22"/>
  <c r="D14" i="69" s="1"/>
  <c r="L38" i="22"/>
  <c r="L39" s="1"/>
  <c r="C42" i="21"/>
  <c r="C14" i="69"/>
  <c r="K66" i="22"/>
  <c r="K51"/>
  <c r="D42" i="21"/>
  <c r="D65" i="22"/>
  <c r="C13" i="69" s="1"/>
  <c r="D52" i="22"/>
  <c r="H42" i="21"/>
  <c r="H14" i="69"/>
  <c r="G42" i="21"/>
  <c r="F42"/>
  <c r="F14" i="69"/>
  <c r="D51" i="22"/>
  <c r="K52"/>
  <c r="K64"/>
  <c r="L61" s="1"/>
  <c r="K46"/>
  <c r="L43" s="1"/>
  <c r="C68"/>
  <c r="M56" l="1"/>
  <c r="M57" s="1"/>
  <c r="F34" i="61"/>
  <c r="C12" i="21"/>
  <c r="G245" i="53"/>
  <c r="G182"/>
  <c r="G6" i="61"/>
  <c r="E260" i="53"/>
  <c r="G19" i="72"/>
  <c r="G43" s="1"/>
  <c r="H73" i="81"/>
  <c r="H19" i="72" s="1"/>
  <c r="H43" s="1"/>
  <c r="G145"/>
  <c r="G146"/>
  <c r="G144"/>
  <c r="H103" i="81"/>
  <c r="I20" i="53" s="1"/>
  <c r="I73" s="1"/>
  <c r="H20"/>
  <c r="H73" s="1"/>
  <c r="H215"/>
  <c r="H148"/>
  <c r="G27" i="72"/>
  <c r="G51" s="1"/>
  <c r="H81" i="81"/>
  <c r="H27" i="72" s="1"/>
  <c r="H51" s="1"/>
  <c r="D164"/>
  <c r="D140"/>
  <c r="D141"/>
  <c r="D142"/>
  <c r="D160"/>
  <c r="D162"/>
  <c r="D161"/>
  <c r="K59"/>
  <c r="D32"/>
  <c r="D37"/>
  <c r="E161" i="84"/>
  <c r="E160"/>
  <c r="E149"/>
  <c r="E152" s="1"/>
  <c r="H99" i="81"/>
  <c r="I16" i="53" s="1"/>
  <c r="I69" s="1"/>
  <c r="H16"/>
  <c r="H69" s="1"/>
  <c r="H234"/>
  <c r="H167"/>
  <c r="G21" i="72"/>
  <c r="G45" s="1"/>
  <c r="H75" i="81"/>
  <c r="H21" i="72" s="1"/>
  <c r="H45" s="1"/>
  <c r="H96" i="81"/>
  <c r="I13" i="53" s="1"/>
  <c r="I66" s="1"/>
  <c r="H13"/>
  <c r="H66" s="1"/>
  <c r="H218"/>
  <c r="H151"/>
  <c r="F62" i="72"/>
  <c r="H156"/>
  <c r="F63"/>
  <c r="H110" i="81"/>
  <c r="I27" i="53" s="1"/>
  <c r="I80" s="1"/>
  <c r="H27"/>
  <c r="H80" s="1"/>
  <c r="H227"/>
  <c r="H160"/>
  <c r="H211"/>
  <c r="H144"/>
  <c r="B67" i="55"/>
  <c r="B70" s="1"/>
  <c r="D86"/>
  <c r="F73" i="83"/>
  <c r="E13" i="72"/>
  <c r="G31"/>
  <c r="G55" s="1"/>
  <c r="H85" i="81"/>
  <c r="H31" i="72" s="1"/>
  <c r="H55" s="1"/>
  <c r="H122" i="83"/>
  <c r="I46" i="53" s="1"/>
  <c r="I99" s="1"/>
  <c r="H46"/>
  <c r="H99" s="1"/>
  <c r="D12" i="84"/>
  <c r="D37"/>
  <c r="G14" i="72"/>
  <c r="G38" s="1"/>
  <c r="H74" i="83"/>
  <c r="H14" i="72" s="1"/>
  <c r="H38" s="1"/>
  <c r="H216" i="53"/>
  <c r="H149"/>
  <c r="G28" i="72"/>
  <c r="G52" s="1"/>
  <c r="H82" i="81"/>
  <c r="H28" i="72" s="1"/>
  <c r="H52" s="1"/>
  <c r="H136" i="53"/>
  <c r="H203"/>
  <c r="H143"/>
  <c r="H210"/>
  <c r="H39"/>
  <c r="H92" s="1"/>
  <c r="H115" i="83"/>
  <c r="I39" i="53" s="1"/>
  <c r="I92" s="1"/>
  <c r="H106" i="81"/>
  <c r="I23" i="53" s="1"/>
  <c r="I76" s="1"/>
  <c r="H23"/>
  <c r="H76" s="1"/>
  <c r="D87" i="55"/>
  <c r="D88"/>
  <c r="G235" i="53"/>
  <c r="G168"/>
  <c r="H130"/>
  <c r="H197"/>
  <c r="H224"/>
  <c r="H157"/>
  <c r="D62" i="84"/>
  <c r="D136" s="1"/>
  <c r="F156"/>
  <c r="F96" i="72"/>
  <c r="F97"/>
  <c r="H199" i="53"/>
  <c r="H132"/>
  <c r="H28"/>
  <c r="H81" s="1"/>
  <c r="H111" i="81"/>
  <c r="I28" i="53" s="1"/>
  <c r="I81" s="1"/>
  <c r="G46" i="81"/>
  <c r="F15" i="55"/>
  <c r="F47" s="1"/>
  <c r="H209" i="53"/>
  <c r="H142"/>
  <c r="H98" i="81"/>
  <c r="I15" i="53" s="1"/>
  <c r="I68" s="1"/>
  <c r="H15"/>
  <c r="H68" s="1"/>
  <c r="I35" i="29"/>
  <c r="I173"/>
  <c r="I128"/>
  <c r="I143"/>
  <c r="I158"/>
  <c r="H105" i="81"/>
  <c r="I22" i="53" s="1"/>
  <c r="I75" s="1"/>
  <c r="H22"/>
  <c r="H75" s="1"/>
  <c r="G123" i="83"/>
  <c r="G47" i="53"/>
  <c r="G100" s="1"/>
  <c r="G115" s="1"/>
  <c r="F184"/>
  <c r="F247"/>
  <c r="H92" i="81"/>
  <c r="I9" i="53" s="1"/>
  <c r="I62" s="1"/>
  <c r="H9"/>
  <c r="H62" s="1"/>
  <c r="E157" i="84"/>
  <c r="F18" i="61" s="1"/>
  <c r="G9" s="1"/>
  <c r="E158" i="84"/>
  <c r="H36" i="53"/>
  <c r="H89" s="1"/>
  <c r="H112" i="83"/>
  <c r="I36" i="53" s="1"/>
  <c r="I89" s="1"/>
  <c r="D260"/>
  <c r="D262" s="1"/>
  <c r="F6" i="61"/>
  <c r="H232" i="53"/>
  <c r="H165"/>
  <c r="G29" i="72"/>
  <c r="G53" s="1"/>
  <c r="H83" i="81"/>
  <c r="H29" i="72" s="1"/>
  <c r="H53" s="1"/>
  <c r="H84" i="81"/>
  <c r="H30" i="72" s="1"/>
  <c r="H54" s="1"/>
  <c r="G30"/>
  <c r="G54" s="1"/>
  <c r="D36" i="55"/>
  <c r="D40"/>
  <c r="F81" s="1"/>
  <c r="G26" i="72"/>
  <c r="G50" s="1"/>
  <c r="H80" i="81"/>
  <c r="H26" i="72" s="1"/>
  <c r="H50" s="1"/>
  <c r="G23"/>
  <c r="G47" s="1"/>
  <c r="H77" i="81"/>
  <c r="H23" i="72" s="1"/>
  <c r="H47" s="1"/>
  <c r="H94" i="81"/>
  <c r="I11" i="53" s="1"/>
  <c r="I64" s="1"/>
  <c r="H11"/>
  <c r="H64" s="1"/>
  <c r="H223"/>
  <c r="H156"/>
  <c r="H104" i="81"/>
  <c r="I21" i="53" s="1"/>
  <c r="I74" s="1"/>
  <c r="H21"/>
  <c r="H74" s="1"/>
  <c r="H145"/>
  <c r="H212"/>
  <c r="G47" i="81"/>
  <c r="F16" i="55"/>
  <c r="F48" s="1"/>
  <c r="C12" i="72"/>
  <c r="E159"/>
  <c r="C35"/>
  <c r="H228" i="53"/>
  <c r="H161"/>
  <c r="F118"/>
  <c r="H44"/>
  <c r="H97" s="1"/>
  <c r="H120" i="83"/>
  <c r="I44" i="53" s="1"/>
  <c r="I97" s="1"/>
  <c r="F246"/>
  <c r="F183"/>
  <c r="F47" i="83"/>
  <c r="E11" i="55"/>
  <c r="E35" s="1"/>
  <c r="F182" i="53"/>
  <c r="F191" s="1"/>
  <c r="F245"/>
  <c r="F253"/>
  <c r="F254"/>
  <c r="H202"/>
  <c r="H135"/>
  <c r="H207"/>
  <c r="H140"/>
  <c r="H111" i="83"/>
  <c r="I35" i="53" s="1"/>
  <c r="I88" s="1"/>
  <c r="H35"/>
  <c r="H88" s="1"/>
  <c r="F79" i="72"/>
  <c r="F80"/>
  <c r="D157"/>
  <c r="D158"/>
  <c r="E17" i="61" s="1"/>
  <c r="H107" i="81"/>
  <c r="I24" i="53" s="1"/>
  <c r="I77" s="1"/>
  <c r="H24"/>
  <c r="H77" s="1"/>
  <c r="C59" i="72"/>
  <c r="C60"/>
  <c r="C123" s="1"/>
  <c r="E155"/>
  <c r="H116" i="83"/>
  <c r="I40" i="53" s="1"/>
  <c r="I93" s="1"/>
  <c r="H40"/>
  <c r="H93" s="1"/>
  <c r="F116"/>
  <c r="H217"/>
  <c r="H150"/>
  <c r="G43" i="81"/>
  <c r="F12" i="55"/>
  <c r="F44" s="1"/>
  <c r="H206" i="53"/>
  <c r="H139"/>
  <c r="H200"/>
  <c r="H133"/>
  <c r="H97" i="81"/>
  <c r="I14" i="53" s="1"/>
  <c r="I67" s="1"/>
  <c r="H14"/>
  <c r="H67" s="1"/>
  <c r="H198"/>
  <c r="H131"/>
  <c r="F251"/>
  <c r="F188"/>
  <c r="H19"/>
  <c r="H72" s="1"/>
  <c r="H102" i="81"/>
  <c r="I19" i="53" s="1"/>
  <c r="I72" s="1"/>
  <c r="G50" i="81"/>
  <c r="F19" i="55"/>
  <c r="F51" s="1"/>
  <c r="G20" i="72"/>
  <c r="G44" s="1"/>
  <c r="H74" i="81"/>
  <c r="H20" i="72" s="1"/>
  <c r="H44" s="1"/>
  <c r="F71"/>
  <c r="F72"/>
  <c r="G18"/>
  <c r="G42" s="1"/>
  <c r="H72" i="81"/>
  <c r="H18" i="72" s="1"/>
  <c r="H42" s="1"/>
  <c r="G22"/>
  <c r="G46" s="1"/>
  <c r="H76" i="81"/>
  <c r="H22" i="72" s="1"/>
  <c r="H46" s="1"/>
  <c r="G54" i="81"/>
  <c r="F23" i="55"/>
  <c r="F55" s="1"/>
  <c r="H213" i="53"/>
  <c r="H146"/>
  <c r="E39" i="84"/>
  <c r="G159"/>
  <c r="E34"/>
  <c r="G56" i="81"/>
  <c r="F25" i="55"/>
  <c r="F57" s="1"/>
  <c r="F115" i="53"/>
  <c r="G253" s="1"/>
  <c r="H29"/>
  <c r="H82" s="1"/>
  <c r="H112" i="81"/>
  <c r="I29" i="53" s="1"/>
  <c r="I82" s="1"/>
  <c r="H101" i="81"/>
  <c r="I18" i="53" s="1"/>
  <c r="I71" s="1"/>
  <c r="H18"/>
  <c r="H71" s="1"/>
  <c r="H95" i="81"/>
  <c r="I12" i="53" s="1"/>
  <c r="I65" s="1"/>
  <c r="H12"/>
  <c r="H65" s="1"/>
  <c r="H10"/>
  <c r="H63" s="1"/>
  <c r="H93" i="81"/>
  <c r="I10" i="53" s="1"/>
  <c r="I63" s="1"/>
  <c r="G51" i="81"/>
  <c r="F20" i="55"/>
  <c r="F52" s="1"/>
  <c r="H208" i="53"/>
  <c r="H141"/>
  <c r="H70" i="81"/>
  <c r="H16" i="72" s="1"/>
  <c r="H40" s="1"/>
  <c r="G16"/>
  <c r="G40" s="1"/>
  <c r="D148"/>
  <c r="D163"/>
  <c r="H204" i="53"/>
  <c r="H137"/>
  <c r="G15" i="72"/>
  <c r="G39" s="1"/>
  <c r="H69" i="81"/>
  <c r="H15" i="72" s="1"/>
  <c r="H39" s="1"/>
  <c r="H108" i="81"/>
  <c r="I25" i="53" s="1"/>
  <c r="I78" s="1"/>
  <c r="H25"/>
  <c r="H78" s="1"/>
  <c r="G102" i="83"/>
  <c r="F13" i="84"/>
  <c r="F119" i="53"/>
  <c r="G17" i="72"/>
  <c r="G41" s="1"/>
  <c r="H71" i="81"/>
  <c r="H17" i="72" s="1"/>
  <c r="H41" s="1"/>
  <c r="H201" i="53"/>
  <c r="H134"/>
  <c r="H113" i="81"/>
  <c r="I30" i="53" s="1"/>
  <c r="I83" s="1"/>
  <c r="H30"/>
  <c r="H83" s="1"/>
  <c r="G25" i="72"/>
  <c r="G49" s="1"/>
  <c r="H79" i="81"/>
  <c r="H25" i="72" s="1"/>
  <c r="H49" s="1"/>
  <c r="H78" i="81"/>
  <c r="H24" i="72" s="1"/>
  <c r="H48" s="1"/>
  <c r="G24"/>
  <c r="G48" s="1"/>
  <c r="C43" i="55"/>
  <c r="C10"/>
  <c r="C174" i="29"/>
  <c r="C159"/>
  <c r="C144"/>
  <c r="C36"/>
  <c r="C129"/>
  <c r="C67" i="22"/>
  <c r="E42" i="21"/>
  <c r="F110" i="29" s="1"/>
  <c r="B42" i="21"/>
  <c r="D96" i="29" s="1"/>
  <c r="L40" i="22"/>
  <c r="M37" s="1"/>
  <c r="L62"/>
  <c r="L63" s="1"/>
  <c r="D67"/>
  <c r="E51"/>
  <c r="G110" i="29"/>
  <c r="F96" i="22"/>
  <c r="H96" i="29"/>
  <c r="G60"/>
  <c r="H11"/>
  <c r="L44" i="22"/>
  <c r="L45" s="1"/>
  <c r="L49"/>
  <c r="K68"/>
  <c r="E49"/>
  <c r="D68"/>
  <c r="K67"/>
  <c r="H110" i="29"/>
  <c r="H60"/>
  <c r="G96" i="22"/>
  <c r="I11" i="29"/>
  <c r="I96"/>
  <c r="E96" i="22"/>
  <c r="H96"/>
  <c r="J96" i="29"/>
  <c r="I110"/>
  <c r="I60"/>
  <c r="J11"/>
  <c r="C110"/>
  <c r="C60"/>
  <c r="E110"/>
  <c r="D96" i="22"/>
  <c r="F96" i="29"/>
  <c r="E60"/>
  <c r="F11"/>
  <c r="B97" i="22"/>
  <c r="C45" i="29"/>
  <c r="D110"/>
  <c r="D60"/>
  <c r="C96" i="22"/>
  <c r="E96" i="29"/>
  <c r="E11"/>
  <c r="C15" i="69"/>
  <c r="M58" i="22" l="1"/>
  <c r="N55" s="1"/>
  <c r="N56" s="1"/>
  <c r="N57" s="1"/>
  <c r="H246" i="53"/>
  <c r="H183"/>
  <c r="D170" i="72"/>
  <c r="D172" s="1"/>
  <c r="D167" i="84"/>
  <c r="D169" s="1"/>
  <c r="F8" i="61"/>
  <c r="J206" i="53"/>
  <c r="J139"/>
  <c r="E62" i="84"/>
  <c r="E136" s="1"/>
  <c r="G156"/>
  <c r="H79" i="72"/>
  <c r="H80"/>
  <c r="J207" i="53"/>
  <c r="J140"/>
  <c r="I202"/>
  <c r="I135"/>
  <c r="I212"/>
  <c r="I145"/>
  <c r="J223"/>
  <c r="J156"/>
  <c r="G15" i="61"/>
  <c r="G250" i="53"/>
  <c r="G187"/>
  <c r="J199"/>
  <c r="J132"/>
  <c r="G15" i="55"/>
  <c r="G47" s="1"/>
  <c r="H46" i="81"/>
  <c r="H15" i="55" s="1"/>
  <c r="H47" s="1"/>
  <c r="G73" i="83"/>
  <c r="F13" i="72"/>
  <c r="J215" i="53"/>
  <c r="J148"/>
  <c r="J201"/>
  <c r="J134"/>
  <c r="I208"/>
  <c r="I141"/>
  <c r="G251"/>
  <c r="G188"/>
  <c r="J217"/>
  <c r="J150"/>
  <c r="G79" i="72"/>
  <c r="G80"/>
  <c r="I140" i="53"/>
  <c r="I207"/>
  <c r="J202"/>
  <c r="J135"/>
  <c r="J212"/>
  <c r="J145"/>
  <c r="G34" i="61"/>
  <c r="D12" i="21"/>
  <c r="H96" i="72"/>
  <c r="H97"/>
  <c r="J224" i="53"/>
  <c r="J157"/>
  <c r="J216"/>
  <c r="J149"/>
  <c r="F161" i="84"/>
  <c r="F149"/>
  <c r="F152" s="1"/>
  <c r="F160"/>
  <c r="I211" i="53"/>
  <c r="I144"/>
  <c r="F157" i="84"/>
  <c r="G18" i="61" s="1"/>
  <c r="H9" s="1"/>
  <c r="F158" i="84"/>
  <c r="J208" i="53"/>
  <c r="J141"/>
  <c r="F259"/>
  <c r="F39" i="84"/>
  <c r="H159"/>
  <c r="F34"/>
  <c r="H51" i="81"/>
  <c r="H20" i="55" s="1"/>
  <c r="H52" s="1"/>
  <c r="G20"/>
  <c r="G52" s="1"/>
  <c r="I217" i="53"/>
  <c r="I150"/>
  <c r="G247"/>
  <c r="G184"/>
  <c r="E36" i="55"/>
  <c r="E40"/>
  <c r="G81" s="1"/>
  <c r="I209" i="53"/>
  <c r="I142"/>
  <c r="G97" i="72"/>
  <c r="G96"/>
  <c r="I224" i="53"/>
  <c r="I157"/>
  <c r="H235"/>
  <c r="H168"/>
  <c r="I216"/>
  <c r="I149"/>
  <c r="G118"/>
  <c r="J211"/>
  <c r="J144"/>
  <c r="I234"/>
  <c r="I167"/>
  <c r="D80" i="55"/>
  <c r="D82" s="1"/>
  <c r="D90"/>
  <c r="D89"/>
  <c r="E16" i="61" s="1"/>
  <c r="D59" i="72"/>
  <c r="D60"/>
  <c r="D123" s="1"/>
  <c r="F155"/>
  <c r="D151"/>
  <c r="I218" i="53"/>
  <c r="I151"/>
  <c r="H102" i="83"/>
  <c r="H13" i="84" s="1"/>
  <c r="G13"/>
  <c r="J198" i="53"/>
  <c r="J131"/>
  <c r="G183"/>
  <c r="G191" s="1"/>
  <c r="G246"/>
  <c r="H15" i="61" s="1"/>
  <c r="I228" i="53"/>
  <c r="I161"/>
  <c r="G47" i="83"/>
  <c r="F11" i="55"/>
  <c r="F35" s="1"/>
  <c r="J209" i="53"/>
  <c r="J142"/>
  <c r="H47"/>
  <c r="H100" s="1"/>
  <c r="H123" i="83"/>
  <c r="I47" i="53" s="1"/>
  <c r="I100" s="1"/>
  <c r="I203"/>
  <c r="I136"/>
  <c r="G116"/>
  <c r="J227"/>
  <c r="J160"/>
  <c r="J234"/>
  <c r="J167"/>
  <c r="D12" i="72"/>
  <c r="F159"/>
  <c r="D35"/>
  <c r="J218" i="53"/>
  <c r="J151"/>
  <c r="I213"/>
  <c r="I146"/>
  <c r="G71" i="72"/>
  <c r="G72"/>
  <c r="I198" i="53"/>
  <c r="I131"/>
  <c r="G23" i="55"/>
  <c r="G55" s="1"/>
  <c r="H54" i="81"/>
  <c r="H23" i="55" s="1"/>
  <c r="H55" s="1"/>
  <c r="J228" i="53"/>
  <c r="J161"/>
  <c r="I210"/>
  <c r="I143"/>
  <c r="J203"/>
  <c r="J136"/>
  <c r="I227"/>
  <c r="I160"/>
  <c r="H146" i="72"/>
  <c r="H144"/>
  <c r="H145"/>
  <c r="L59"/>
  <c r="M59" s="1"/>
  <c r="N59" s="1"/>
  <c r="K60"/>
  <c r="K61" s="1"/>
  <c r="K62" s="1"/>
  <c r="E88" i="55"/>
  <c r="E87"/>
  <c r="J213" i="53"/>
  <c r="J146"/>
  <c r="H72" i="72"/>
  <c r="H71"/>
  <c r="I200" i="53"/>
  <c r="I133"/>
  <c r="G25" i="55"/>
  <c r="G57" s="1"/>
  <c r="H56" i="81"/>
  <c r="H25" i="55" s="1"/>
  <c r="H57" s="1"/>
  <c r="E157" i="72"/>
  <c r="F17" i="61" s="1"/>
  <c r="E158" i="72"/>
  <c r="E259" i="53"/>
  <c r="E262" s="1"/>
  <c r="J210"/>
  <c r="J143"/>
  <c r="I204"/>
  <c r="I137"/>
  <c r="C67" i="55"/>
  <c r="C70" s="1"/>
  <c r="E86"/>
  <c r="G254" i="53"/>
  <c r="J200"/>
  <c r="J133"/>
  <c r="E12" i="84"/>
  <c r="E37"/>
  <c r="E148" i="72"/>
  <c r="E163"/>
  <c r="J232" i="53"/>
  <c r="J165"/>
  <c r="D43" i="55"/>
  <c r="D10"/>
  <c r="E47" i="61"/>
  <c r="B22" i="21"/>
  <c r="D274" i="53"/>
  <c r="D276" s="1"/>
  <c r="H114"/>
  <c r="I254" s="1"/>
  <c r="H119"/>
  <c r="H115"/>
  <c r="I197"/>
  <c r="H118"/>
  <c r="H116"/>
  <c r="I130"/>
  <c r="G119"/>
  <c r="H63" i="72"/>
  <c r="J156"/>
  <c r="H62"/>
  <c r="J137" i="53"/>
  <c r="J204"/>
  <c r="D174" i="29"/>
  <c r="D159"/>
  <c r="D144"/>
  <c r="D129"/>
  <c r="D36"/>
  <c r="I206" i="53"/>
  <c r="I139"/>
  <c r="G19" i="55"/>
  <c r="G51" s="1"/>
  <c r="H50" i="81"/>
  <c r="H19" i="55" s="1"/>
  <c r="H51" s="1"/>
  <c r="H43" i="81"/>
  <c r="H12" i="55" s="1"/>
  <c r="H44" s="1"/>
  <c r="G12"/>
  <c r="G44" s="1"/>
  <c r="E161" i="72"/>
  <c r="E162"/>
  <c r="E164"/>
  <c r="E160"/>
  <c r="E140"/>
  <c r="E142"/>
  <c r="E141"/>
  <c r="I223" i="53"/>
  <c r="I156"/>
  <c r="I232"/>
  <c r="I165"/>
  <c r="G16" i="55"/>
  <c r="G48" s="1"/>
  <c r="H47" i="81"/>
  <c r="H16" i="55" s="1"/>
  <c r="H48" s="1"/>
  <c r="I132" i="53"/>
  <c r="I199"/>
  <c r="I118"/>
  <c r="I114"/>
  <c r="I119"/>
  <c r="J197"/>
  <c r="I116"/>
  <c r="I115"/>
  <c r="J130"/>
  <c r="G114"/>
  <c r="I156" i="72"/>
  <c r="G62"/>
  <c r="G63"/>
  <c r="E32"/>
  <c r="E37"/>
  <c r="I148" i="53"/>
  <c r="I215"/>
  <c r="I201"/>
  <c r="I134"/>
  <c r="C13" i="21"/>
  <c r="F39" i="61"/>
  <c r="G11" i="29"/>
  <c r="F60"/>
  <c r="G96"/>
  <c r="D11"/>
  <c r="B96" i="22"/>
  <c r="M38"/>
  <c r="M39" s="1"/>
  <c r="L64"/>
  <c r="M61" s="1"/>
  <c r="M62" s="1"/>
  <c r="M63" s="1"/>
  <c r="N58"/>
  <c r="O55" s="1"/>
  <c r="O56" s="1"/>
  <c r="O58" s="1"/>
  <c r="P55" s="1"/>
  <c r="L46"/>
  <c r="M43" s="1"/>
  <c r="M44" s="1"/>
  <c r="M46" s="1"/>
  <c r="N43" s="1"/>
  <c r="E52"/>
  <c r="E65"/>
  <c r="D13" i="69" s="1"/>
  <c r="D15" s="1"/>
  <c r="L50" i="22"/>
  <c r="L52" s="1"/>
  <c r="L65"/>
  <c r="F51"/>
  <c r="E67"/>
  <c r="E167" i="84" l="1"/>
  <c r="G8" i="61"/>
  <c r="E170" i="72"/>
  <c r="D95" i="55"/>
  <c r="D97" s="1"/>
  <c r="F7" i="61"/>
  <c r="E21"/>
  <c r="E42" s="1"/>
  <c r="B10" i="69" s="1"/>
  <c r="C32" i="68" s="1"/>
  <c r="H251" i="53"/>
  <c r="H188"/>
  <c r="F158" i="72"/>
  <c r="F157"/>
  <c r="J235" i="53"/>
  <c r="J168"/>
  <c r="J191" s="1"/>
  <c r="I6" i="61"/>
  <c r="G260" i="53"/>
  <c r="B8" i="21"/>
  <c r="E36" i="61"/>
  <c r="F12" i="84"/>
  <c r="F37"/>
  <c r="G160"/>
  <c r="G161"/>
  <c r="G149"/>
  <c r="G152" s="1"/>
  <c r="I235" i="53"/>
  <c r="I168"/>
  <c r="I191" s="1"/>
  <c r="H34" i="61"/>
  <c r="E12" i="21"/>
  <c r="E10" i="55"/>
  <c r="E43"/>
  <c r="J246" i="53"/>
  <c r="J183"/>
  <c r="E151" i="72"/>
  <c r="I247" i="53"/>
  <c r="I184"/>
  <c r="G157" i="84"/>
  <c r="G158"/>
  <c r="J254" i="53"/>
  <c r="E37" i="61"/>
  <c r="B9" i="21"/>
  <c r="F62" i="84"/>
  <c r="F136" s="1"/>
  <c r="H156"/>
  <c r="F37" i="72"/>
  <c r="F32"/>
  <c r="E60"/>
  <c r="E123" s="1"/>
  <c r="G155"/>
  <c r="E59"/>
  <c r="J247" i="53"/>
  <c r="J184"/>
  <c r="I250"/>
  <c r="I187"/>
  <c r="F87" i="55"/>
  <c r="F88"/>
  <c r="J253" i="53"/>
  <c r="G17" i="61"/>
  <c r="G13" i="72"/>
  <c r="H73" i="83"/>
  <c r="H13" i="72" s="1"/>
  <c r="E166" i="84"/>
  <c r="E169" i="72"/>
  <c r="H245" i="53"/>
  <c r="H182"/>
  <c r="H191" s="1"/>
  <c r="H253"/>
  <c r="H254"/>
  <c r="J144" i="72"/>
  <c r="J145"/>
  <c r="J146"/>
  <c r="F86" i="55"/>
  <c r="D67"/>
  <c r="D70" s="1"/>
  <c r="F36"/>
  <c r="F40"/>
  <c r="H81" s="1"/>
  <c r="F163" i="72"/>
  <c r="F148"/>
  <c r="F260" i="53"/>
  <c r="F262" s="1"/>
  <c r="H6" i="61"/>
  <c r="E52"/>
  <c r="B23" i="21"/>
  <c r="D178" i="84"/>
  <c r="D180" s="1"/>
  <c r="J251" i="53"/>
  <c r="J188"/>
  <c r="I246"/>
  <c r="I183"/>
  <c r="I253"/>
  <c r="H247"/>
  <c r="H184"/>
  <c r="H47" i="83"/>
  <c r="H11" i="55" s="1"/>
  <c r="H35" s="1"/>
  <c r="G11"/>
  <c r="G35" s="1"/>
  <c r="F160" i="72"/>
  <c r="F161"/>
  <c r="F162"/>
  <c r="F140"/>
  <c r="F164"/>
  <c r="F141"/>
  <c r="F142"/>
  <c r="H250" i="53"/>
  <c r="H187"/>
  <c r="G39" i="61"/>
  <c r="D13" i="21"/>
  <c r="E50" i="61"/>
  <c r="B19" i="21"/>
  <c r="D181" i="72"/>
  <c r="D183" s="1"/>
  <c r="D130" i="29"/>
  <c r="D175"/>
  <c r="D145"/>
  <c r="D160"/>
  <c r="D37"/>
  <c r="I144" i="72"/>
  <c r="I145"/>
  <c r="I146"/>
  <c r="J245" i="53"/>
  <c r="J182"/>
  <c r="I251"/>
  <c r="I188"/>
  <c r="F47" i="61"/>
  <c r="C22" i="21"/>
  <c r="E274" i="53"/>
  <c r="E276" s="1"/>
  <c r="I159" i="84"/>
  <c r="G39"/>
  <c r="G34"/>
  <c r="E174" i="29"/>
  <c r="E159"/>
  <c r="E144"/>
  <c r="E129"/>
  <c r="E36"/>
  <c r="G159" i="72"/>
  <c r="E12"/>
  <c r="E35"/>
  <c r="J250" i="53"/>
  <c r="K15" i="61" s="1"/>
  <c r="J187" i="53"/>
  <c r="I245"/>
  <c r="J15" i="61" s="1"/>
  <c r="I182" i="53"/>
  <c r="E89" i="55"/>
  <c r="F16" i="61" s="1"/>
  <c r="E90" i="55"/>
  <c r="E80"/>
  <c r="E82" s="1"/>
  <c r="J159" i="84"/>
  <c r="H39"/>
  <c r="H34"/>
  <c r="H18" i="61"/>
  <c r="I9" s="1"/>
  <c r="M45" i="22"/>
  <c r="M40"/>
  <c r="N37" s="1"/>
  <c r="O57"/>
  <c r="M64"/>
  <c r="N61" s="1"/>
  <c r="L66"/>
  <c r="L51"/>
  <c r="F49"/>
  <c r="E68"/>
  <c r="F67"/>
  <c r="G51"/>
  <c r="P56"/>
  <c r="P57" s="1"/>
  <c r="N62"/>
  <c r="N63" s="1"/>
  <c r="N44"/>
  <c r="N46" s="1"/>
  <c r="O43" s="1"/>
  <c r="M49"/>
  <c r="L68"/>
  <c r="G7" i="61" l="1"/>
  <c r="E95" i="55"/>
  <c r="F21" i="61"/>
  <c r="F42" s="1"/>
  <c r="C10" i="69" s="1"/>
  <c r="D32" i="68" s="1"/>
  <c r="J34" i="61"/>
  <c r="G12" i="21"/>
  <c r="G47" i="61"/>
  <c r="D22" i="21"/>
  <c r="F274" i="53"/>
  <c r="F276" s="1"/>
  <c r="J260"/>
  <c r="H12" i="21"/>
  <c r="K34" i="61"/>
  <c r="I34"/>
  <c r="F12" i="21"/>
  <c r="K6" i="61"/>
  <c r="I260" i="53"/>
  <c r="H36" i="55"/>
  <c r="H40"/>
  <c r="J81" s="1"/>
  <c r="H37" i="72"/>
  <c r="H32"/>
  <c r="H160" i="84"/>
  <c r="H161"/>
  <c r="H149"/>
  <c r="H152" s="1"/>
  <c r="G37" i="72"/>
  <c r="G32"/>
  <c r="F36" i="29"/>
  <c r="F174"/>
  <c r="F159"/>
  <c r="F144"/>
  <c r="F129"/>
  <c r="H259" i="53"/>
  <c r="F43" i="55"/>
  <c r="F10"/>
  <c r="F170" i="72"/>
  <c r="F167" i="84"/>
  <c r="H8" i="61"/>
  <c r="G160" i="72"/>
  <c r="G141"/>
  <c r="G142"/>
  <c r="G161"/>
  <c r="G140"/>
  <c r="G164"/>
  <c r="G162"/>
  <c r="C33" i="29"/>
  <c r="C171"/>
  <c r="C156"/>
  <c r="C141"/>
  <c r="C126"/>
  <c r="H12" i="84"/>
  <c r="H37"/>
  <c r="F151" i="72"/>
  <c r="G259" i="53"/>
  <c r="G262" s="1"/>
  <c r="F80" i="55"/>
  <c r="F82" s="1"/>
  <c r="F90"/>
  <c r="F89"/>
  <c r="F37" i="61"/>
  <c r="C9" i="21"/>
  <c r="H158" i="84"/>
  <c r="H157"/>
  <c r="E94" i="55"/>
  <c r="F12" i="61"/>
  <c r="E37" i="29"/>
  <c r="E175"/>
  <c r="E145"/>
  <c r="E160"/>
  <c r="E130"/>
  <c r="G16" i="61"/>
  <c r="G148" i="72"/>
  <c r="G163"/>
  <c r="E49" i="61"/>
  <c r="E54" s="1"/>
  <c r="B25" i="69" s="1"/>
  <c r="C12" i="68" s="1"/>
  <c r="B18" i="21"/>
  <c r="B25" s="1"/>
  <c r="D107" i="55"/>
  <c r="D110" s="1"/>
  <c r="I15" i="61"/>
  <c r="H159" i="72"/>
  <c r="F12"/>
  <c r="F35"/>
  <c r="E41" i="61"/>
  <c r="E172" i="72"/>
  <c r="F36" i="61"/>
  <c r="F41" s="1"/>
  <c r="C8" i="21"/>
  <c r="G157" i="72"/>
  <c r="H17" i="61" s="1"/>
  <c r="G158" i="72"/>
  <c r="I156" i="84"/>
  <c r="G62"/>
  <c r="G136" s="1"/>
  <c r="H155" i="72"/>
  <c r="F59"/>
  <c r="F60"/>
  <c r="F123" s="1"/>
  <c r="G86" i="55"/>
  <c r="E67"/>
  <c r="E70" s="1"/>
  <c r="B15" i="21"/>
  <c r="C32" i="29"/>
  <c r="C39" s="1"/>
  <c r="C170"/>
  <c r="C177" s="1"/>
  <c r="C155"/>
  <c r="C162" s="1"/>
  <c r="C140"/>
  <c r="C147" s="1"/>
  <c r="C125"/>
  <c r="C132" s="1"/>
  <c r="F169" i="72"/>
  <c r="F166" i="84"/>
  <c r="J156"/>
  <c r="H62"/>
  <c r="H136" s="1"/>
  <c r="G12"/>
  <c r="G37"/>
  <c r="G36" i="55"/>
  <c r="G40"/>
  <c r="I81" s="1"/>
  <c r="I18" i="61"/>
  <c r="J9" s="1"/>
  <c r="G87" i="55"/>
  <c r="G88"/>
  <c r="E13" i="21"/>
  <c r="H39" i="61"/>
  <c r="E169" i="84"/>
  <c r="N38" i="22"/>
  <c r="N39" s="1"/>
  <c r="P58"/>
  <c r="Q55" s="1"/>
  <c r="Q56" s="1"/>
  <c r="Q58" s="1"/>
  <c r="N45"/>
  <c r="N64"/>
  <c r="O61" s="1"/>
  <c r="O62" s="1"/>
  <c r="O63" s="1"/>
  <c r="M50"/>
  <c r="M66" s="1"/>
  <c r="M65"/>
  <c r="O44"/>
  <c r="O46" s="1"/>
  <c r="P43" s="1"/>
  <c r="C97"/>
  <c r="D45" i="29"/>
  <c r="H51" i="22"/>
  <c r="G67"/>
  <c r="F65"/>
  <c r="E13" i="69" s="1"/>
  <c r="E15" s="1"/>
  <c r="F52" i="22"/>
  <c r="L67"/>
  <c r="I8" i="61" l="1"/>
  <c r="G170" i="72"/>
  <c r="G167" i="84"/>
  <c r="F37" i="29"/>
  <c r="F160"/>
  <c r="F130"/>
  <c r="F175"/>
  <c r="F145"/>
  <c r="I158" i="84"/>
  <c r="I157"/>
  <c r="B10"/>
  <c r="I149"/>
  <c r="I152" s="1"/>
  <c r="I160"/>
  <c r="J18" i="61" s="1"/>
  <c r="K9" s="1"/>
  <c r="I161" i="84"/>
  <c r="E44" i="61"/>
  <c r="E55" s="1"/>
  <c r="B9" i="69"/>
  <c r="C31" i="68" s="1"/>
  <c r="G151" i="72"/>
  <c r="H87" i="55"/>
  <c r="H88"/>
  <c r="H59" i="72"/>
  <c r="J155"/>
  <c r="H60"/>
  <c r="H123" s="1"/>
  <c r="H86" i="55"/>
  <c r="F67"/>
  <c r="F70" s="1"/>
  <c r="C6" i="68"/>
  <c r="H157" i="72"/>
  <c r="H158"/>
  <c r="H7" i="61"/>
  <c r="F95" i="55"/>
  <c r="G21" i="61"/>
  <c r="G42" s="1"/>
  <c r="D10" i="69" s="1"/>
  <c r="E32" i="68" s="1"/>
  <c r="D8" i="21"/>
  <c r="G36" i="61"/>
  <c r="G12" i="72"/>
  <c r="G35"/>
  <c r="I159"/>
  <c r="H43" i="55"/>
  <c r="H10"/>
  <c r="G89"/>
  <c r="G90"/>
  <c r="G80"/>
  <c r="G82" s="1"/>
  <c r="G59" i="72"/>
  <c r="I155"/>
  <c r="G60"/>
  <c r="G123" s="1"/>
  <c r="H36" i="29"/>
  <c r="H174"/>
  <c r="H159"/>
  <c r="H144"/>
  <c r="H129"/>
  <c r="H16" i="61"/>
  <c r="H260" i="53"/>
  <c r="H262" s="1"/>
  <c r="J6" i="61"/>
  <c r="E22" i="21"/>
  <c r="H47" i="61"/>
  <c r="G274" i="53"/>
  <c r="G276" s="1"/>
  <c r="F13" i="21"/>
  <c r="I39" i="61"/>
  <c r="I36" i="29"/>
  <c r="I174"/>
  <c r="I159"/>
  <c r="I144"/>
  <c r="I129"/>
  <c r="F52" i="61"/>
  <c r="C23" i="21"/>
  <c r="E178" i="84"/>
  <c r="E180" s="1"/>
  <c r="C137" i="29"/>
  <c r="H148" i="72"/>
  <c r="H163"/>
  <c r="C15" i="21"/>
  <c r="D170" i="29"/>
  <c r="D177" s="1"/>
  <c r="D155"/>
  <c r="D162" s="1"/>
  <c r="D140"/>
  <c r="D147" s="1"/>
  <c r="D125"/>
  <c r="D32"/>
  <c r="D39" s="1"/>
  <c r="D171"/>
  <c r="D156"/>
  <c r="D141"/>
  <c r="D126"/>
  <c r="D33"/>
  <c r="G37" i="61"/>
  <c r="D9" i="21"/>
  <c r="G169" i="72"/>
  <c r="G166" i="84"/>
  <c r="J259" i="53"/>
  <c r="J262" s="1"/>
  <c r="J160" i="84"/>
  <c r="J161"/>
  <c r="J149"/>
  <c r="J152" s="1"/>
  <c r="G43" i="55"/>
  <c r="G10"/>
  <c r="H160" i="72"/>
  <c r="H140"/>
  <c r="H151" s="1"/>
  <c r="H164"/>
  <c r="H141"/>
  <c r="H142"/>
  <c r="H162"/>
  <c r="H161"/>
  <c r="F44" i="61"/>
  <c r="C9" i="69"/>
  <c r="D31" i="68" s="1"/>
  <c r="C23"/>
  <c r="B38" i="21"/>
  <c r="B40" s="1"/>
  <c r="B45" s="1"/>
  <c r="C180" i="29"/>
  <c r="C181" s="1"/>
  <c r="C182" s="1"/>
  <c r="C150"/>
  <c r="C151" s="1"/>
  <c r="C152" s="1"/>
  <c r="C165"/>
  <c r="C166" s="1"/>
  <c r="C167" s="1"/>
  <c r="C135"/>
  <c r="C136" s="1"/>
  <c r="C41"/>
  <c r="C43" s="1"/>
  <c r="C47" s="1"/>
  <c r="F169" i="84"/>
  <c r="E97" i="55"/>
  <c r="I17" i="61"/>
  <c r="C19" i="21"/>
  <c r="F50" i="61"/>
  <c r="E181" i="72"/>
  <c r="E183" s="1"/>
  <c r="J158" i="84"/>
  <c r="J157"/>
  <c r="K18" i="61" s="1"/>
  <c r="F172" i="72"/>
  <c r="H12"/>
  <c r="H35"/>
  <c r="J159"/>
  <c r="G36" i="29"/>
  <c r="G174"/>
  <c r="G159"/>
  <c r="G144"/>
  <c r="G129"/>
  <c r="F94" i="55"/>
  <c r="G12" i="61"/>
  <c r="N40" i="22"/>
  <c r="O37" s="1"/>
  <c r="M51"/>
  <c r="M67" s="1"/>
  <c r="M52"/>
  <c r="M68" s="1"/>
  <c r="O45"/>
  <c r="P44"/>
  <c r="P46" s="1"/>
  <c r="Q43" s="1"/>
  <c r="H67"/>
  <c r="I51"/>
  <c r="I67" s="1"/>
  <c r="N49"/>
  <c r="Q57"/>
  <c r="G49"/>
  <c r="F68"/>
  <c r="D97"/>
  <c r="E45" i="29"/>
  <c r="O64" i="22"/>
  <c r="P61" s="1"/>
  <c r="F22" i="21" l="1"/>
  <c r="I47" i="61"/>
  <c r="H274" i="53"/>
  <c r="H276" s="1"/>
  <c r="G67" i="55"/>
  <c r="G70" s="1"/>
  <c r="I86"/>
  <c r="G41" i="61"/>
  <c r="J163" i="72"/>
  <c r="J148"/>
  <c r="K39" i="61"/>
  <c r="H13" i="21"/>
  <c r="E171" i="29"/>
  <c r="E156"/>
  <c r="E141"/>
  <c r="E126"/>
  <c r="E33"/>
  <c r="D132"/>
  <c r="D15" i="21"/>
  <c r="E170" i="29"/>
  <c r="E155"/>
  <c r="E162" s="1"/>
  <c r="E140"/>
  <c r="E125"/>
  <c r="E132" s="1"/>
  <c r="E32"/>
  <c r="E39" s="1"/>
  <c r="J8" i="61"/>
  <c r="H170" i="72"/>
  <c r="H167" i="84"/>
  <c r="I259" i="53"/>
  <c r="I262" s="1"/>
  <c r="J87" i="55"/>
  <c r="J88"/>
  <c r="J160" i="72"/>
  <c r="J161"/>
  <c r="J162"/>
  <c r="J164"/>
  <c r="J142"/>
  <c r="J140"/>
  <c r="J141"/>
  <c r="J39" i="61"/>
  <c r="G13" i="21"/>
  <c r="J158" i="72"/>
  <c r="J157"/>
  <c r="K17" i="61" s="1"/>
  <c r="H67" i="55"/>
  <c r="H70" s="1"/>
  <c r="J86"/>
  <c r="F97"/>
  <c r="H89"/>
  <c r="H80"/>
  <c r="H82" s="1"/>
  <c r="H90"/>
  <c r="I37" i="61"/>
  <c r="F9" i="21"/>
  <c r="G37" i="29"/>
  <c r="G130"/>
  <c r="G175"/>
  <c r="G145"/>
  <c r="G160"/>
  <c r="I7" i="61"/>
  <c r="G95" i="55"/>
  <c r="G97" s="1"/>
  <c r="H21" i="61"/>
  <c r="H42" s="1"/>
  <c r="E10" i="69" s="1"/>
  <c r="F32" i="68" s="1"/>
  <c r="I148" i="72"/>
  <c r="I163"/>
  <c r="G94" i="55"/>
  <c r="H12" i="61"/>
  <c r="I16"/>
  <c r="B10" i="72"/>
  <c r="D23" i="21"/>
  <c r="G52" i="61"/>
  <c r="F178" i="84"/>
  <c r="F180" s="1"/>
  <c r="H22" i="21"/>
  <c r="K47" i="61"/>
  <c r="J274" i="53"/>
  <c r="J276" s="1"/>
  <c r="D6" i="68"/>
  <c r="H37" i="61"/>
  <c r="E9" i="21"/>
  <c r="G169" i="84"/>
  <c r="G50" i="61"/>
  <c r="D19" i="21"/>
  <c r="F181" i="72"/>
  <c r="F183" s="1"/>
  <c r="F55" i="61"/>
  <c r="C24" i="69" s="1"/>
  <c r="I160" i="72"/>
  <c r="I164"/>
  <c r="I141"/>
  <c r="I162"/>
  <c r="I142"/>
  <c r="I161"/>
  <c r="I140"/>
  <c r="I151" s="1"/>
  <c r="I157"/>
  <c r="J17" i="61" s="1"/>
  <c r="I158" i="72"/>
  <c r="G172"/>
  <c r="F49" i="61"/>
  <c r="F54" s="1"/>
  <c r="C25" i="69" s="1"/>
  <c r="D12" i="68" s="1"/>
  <c r="C18" i="21"/>
  <c r="C25" s="1"/>
  <c r="E107" i="55"/>
  <c r="E110" s="1"/>
  <c r="I87"/>
  <c r="I88"/>
  <c r="B8"/>
  <c r="H36" i="61"/>
  <c r="H41" s="1"/>
  <c r="E8" i="21"/>
  <c r="E56" i="61"/>
  <c r="B24" i="69"/>
  <c r="H169" i="72"/>
  <c r="H166" i="84"/>
  <c r="O38" i="22"/>
  <c r="O39" s="1"/>
  <c r="P45"/>
  <c r="G52"/>
  <c r="G65"/>
  <c r="F13" i="69" s="1"/>
  <c r="F15" s="1"/>
  <c r="N50" i="22"/>
  <c r="N52" s="1"/>
  <c r="N65"/>
  <c r="Q44"/>
  <c r="Q46" s="1"/>
  <c r="P62"/>
  <c r="P63" s="1"/>
  <c r="K8" i="61" l="1"/>
  <c r="I167" i="84"/>
  <c r="I170" i="72"/>
  <c r="J170"/>
  <c r="J167" i="84"/>
  <c r="D29" i="68"/>
  <c r="D11"/>
  <c r="D13" s="1"/>
  <c r="C27" i="69"/>
  <c r="E18" i="21"/>
  <c r="H49" i="61"/>
  <c r="G107" i="55"/>
  <c r="G110" s="1"/>
  <c r="J89"/>
  <c r="J90"/>
  <c r="J80"/>
  <c r="J82" s="1"/>
  <c r="H94"/>
  <c r="I12" i="61"/>
  <c r="G171" i="29"/>
  <c r="G156"/>
  <c r="G141"/>
  <c r="G126"/>
  <c r="G33"/>
  <c r="J151" i="72"/>
  <c r="D9" i="69"/>
  <c r="E31" i="68" s="1"/>
  <c r="G44" i="61"/>
  <c r="J7"/>
  <c r="H95" i="55"/>
  <c r="H97" s="1"/>
  <c r="I21" i="61"/>
  <c r="I42" s="1"/>
  <c r="F10" i="69" s="1"/>
  <c r="G32" i="68" s="1"/>
  <c r="J47" i="61"/>
  <c r="G22" i="21"/>
  <c r="I274" i="53"/>
  <c r="I276" s="1"/>
  <c r="E147" i="29"/>
  <c r="D23" i="68"/>
  <c r="C38" i="21"/>
  <c r="C40" s="1"/>
  <c r="C45" s="1"/>
  <c r="D180" i="29"/>
  <c r="D181" s="1"/>
  <c r="D182" s="1"/>
  <c r="D150"/>
  <c r="D151" s="1"/>
  <c r="D152" s="1"/>
  <c r="D165"/>
  <c r="D166" s="1"/>
  <c r="D167" s="1"/>
  <c r="D135"/>
  <c r="D136" s="1"/>
  <c r="D41"/>
  <c r="D43" s="1"/>
  <c r="D47" s="1"/>
  <c r="E23" i="21"/>
  <c r="H52" i="61"/>
  <c r="G178" i="84"/>
  <c r="G180" s="1"/>
  <c r="I36" i="61"/>
  <c r="I41" s="1"/>
  <c r="F8" i="21"/>
  <c r="H169" i="84"/>
  <c r="E177" i="29"/>
  <c r="I89" i="55"/>
  <c r="J16" i="61" s="1"/>
  <c r="I90" i="55"/>
  <c r="I80"/>
  <c r="I82" s="1"/>
  <c r="J37" i="61"/>
  <c r="G9" i="21"/>
  <c r="H172" i="72"/>
  <c r="E6" i="68"/>
  <c r="I37" i="29"/>
  <c r="I130"/>
  <c r="I175"/>
  <c r="I145"/>
  <c r="I160"/>
  <c r="C29" i="68"/>
  <c r="C11"/>
  <c r="B27" i="69"/>
  <c r="D11" i="62"/>
  <c r="J41" i="21"/>
  <c r="E9" i="69"/>
  <c r="F31" i="68" s="1"/>
  <c r="H44" i="61"/>
  <c r="E19" i="21"/>
  <c r="H50" i="61"/>
  <c r="G181" i="72"/>
  <c r="G183" s="1"/>
  <c r="F171" i="29"/>
  <c r="F156"/>
  <c r="F141"/>
  <c r="F126"/>
  <c r="F33"/>
  <c r="G49" i="61"/>
  <c r="G54" s="1"/>
  <c r="D25" i="69" s="1"/>
  <c r="E12" i="68" s="1"/>
  <c r="D18" i="21"/>
  <c r="D25" s="1"/>
  <c r="F107" i="55"/>
  <c r="F110" s="1"/>
  <c r="H37" i="29"/>
  <c r="H175"/>
  <c r="H145"/>
  <c r="H160"/>
  <c r="H130"/>
  <c r="I169" i="72"/>
  <c r="I166" i="84"/>
  <c r="D137" i="29"/>
  <c r="E15" i="21"/>
  <c r="F170" i="29"/>
  <c r="F177" s="1"/>
  <c r="F155"/>
  <c r="F162" s="1"/>
  <c r="F140"/>
  <c r="F125"/>
  <c r="F32"/>
  <c r="F39" s="1"/>
  <c r="K16" i="61"/>
  <c r="O40" i="22"/>
  <c r="P37" s="1"/>
  <c r="P38" s="1"/>
  <c r="Q45"/>
  <c r="P64"/>
  <c r="Q61" s="1"/>
  <c r="Q62" s="1"/>
  <c r="Q63" s="1"/>
  <c r="H49"/>
  <c r="G68"/>
  <c r="O49"/>
  <c r="N68"/>
  <c r="N66"/>
  <c r="N51"/>
  <c r="K7" i="61" l="1"/>
  <c r="I95" i="55"/>
  <c r="J21" i="61"/>
  <c r="J42" s="1"/>
  <c r="G10" i="69" s="1"/>
  <c r="H32" i="68" s="1"/>
  <c r="F9" i="69"/>
  <c r="G31" i="68" s="1"/>
  <c r="I44" i="61"/>
  <c r="K37"/>
  <c r="H9" i="21"/>
  <c r="J36" i="61"/>
  <c r="J41" s="1"/>
  <c r="G8" i="21"/>
  <c r="F6" i="68"/>
  <c r="K36" i="61"/>
  <c r="H8" i="21"/>
  <c r="F18"/>
  <c r="I49" i="61"/>
  <c r="H107" i="55"/>
  <c r="H110" s="1"/>
  <c r="I94"/>
  <c r="J12" i="61"/>
  <c r="D38" i="21"/>
  <c r="D40" s="1"/>
  <c r="D45" s="1"/>
  <c r="E23" i="68"/>
  <c r="E150" i="29"/>
  <c r="E151" s="1"/>
  <c r="E152" s="1"/>
  <c r="E165"/>
  <c r="E166" s="1"/>
  <c r="E167" s="1"/>
  <c r="E135"/>
  <c r="E136" s="1"/>
  <c r="E137" s="1"/>
  <c r="E180"/>
  <c r="E181" s="1"/>
  <c r="E182" s="1"/>
  <c r="E41"/>
  <c r="E43" s="1"/>
  <c r="E47" s="1"/>
  <c r="I50" i="61"/>
  <c r="F19" i="21"/>
  <c r="H181" i="72"/>
  <c r="H183" s="1"/>
  <c r="F23" i="21"/>
  <c r="I52" i="61"/>
  <c r="H178" i="84"/>
  <c r="H180" s="1"/>
  <c r="G55" i="61"/>
  <c r="D24" i="69" s="1"/>
  <c r="I172" i="72"/>
  <c r="H54" i="61"/>
  <c r="E25" i="69" s="1"/>
  <c r="F12" i="68" s="1"/>
  <c r="I169" i="84"/>
  <c r="E21" i="62"/>
  <c r="D12"/>
  <c r="J95" i="55"/>
  <c r="K21" i="61"/>
  <c r="K42" s="1"/>
  <c r="H10" i="69" s="1"/>
  <c r="I32" i="68" s="1"/>
  <c r="F132" i="29"/>
  <c r="F147"/>
  <c r="H55" i="61"/>
  <c r="E24" i="69" s="1"/>
  <c r="H171" i="29"/>
  <c r="H156"/>
  <c r="H141"/>
  <c r="H126"/>
  <c r="H33"/>
  <c r="F15" i="21"/>
  <c r="G170" i="29"/>
  <c r="G177" s="1"/>
  <c r="G155"/>
  <c r="G162" s="1"/>
  <c r="G140"/>
  <c r="G147" s="1"/>
  <c r="G125"/>
  <c r="G132" s="1"/>
  <c r="G32"/>
  <c r="G39" s="1"/>
  <c r="E25" i="21"/>
  <c r="J169" i="72"/>
  <c r="J172" s="1"/>
  <c r="J166" i="84"/>
  <c r="J169" s="1"/>
  <c r="P40" i="22"/>
  <c r="Q37" s="1"/>
  <c r="Q38" s="1"/>
  <c r="Q40" s="1"/>
  <c r="P39"/>
  <c r="Q39" s="1"/>
  <c r="E97"/>
  <c r="F45" i="29"/>
  <c r="O50" i="22"/>
  <c r="O66" s="1"/>
  <c r="O65"/>
  <c r="H65"/>
  <c r="G13" i="69" s="1"/>
  <c r="G15" s="1"/>
  <c r="H52" i="22"/>
  <c r="O51"/>
  <c r="N67"/>
  <c r="Q64"/>
  <c r="H19" i="21" l="1"/>
  <c r="K50" i="61"/>
  <c r="J181" i="72"/>
  <c r="J183" s="1"/>
  <c r="H23" i="21"/>
  <c r="K52" i="61"/>
  <c r="J178" i="84"/>
  <c r="J180" s="1"/>
  <c r="B33" i="69"/>
  <c r="C33" s="1"/>
  <c r="D33" s="1"/>
  <c r="E33" s="1"/>
  <c r="F33" s="1"/>
  <c r="G33" s="1"/>
  <c r="H33" s="1"/>
  <c r="C7" i="68"/>
  <c r="I33" i="29"/>
  <c r="I171"/>
  <c r="I156"/>
  <c r="I141"/>
  <c r="I126"/>
  <c r="G23" i="21"/>
  <c r="J52" i="61"/>
  <c r="I178" i="84"/>
  <c r="I180" s="1"/>
  <c r="I54" i="61"/>
  <c r="F25" i="69" s="1"/>
  <c r="G12" i="68" s="1"/>
  <c r="F25" i="21"/>
  <c r="G6" i="68"/>
  <c r="G19" i="21"/>
  <c r="J50" i="61"/>
  <c r="I181" i="72"/>
  <c r="I183" s="1"/>
  <c r="G15" i="21"/>
  <c r="H170" i="29"/>
  <c r="H177" s="1"/>
  <c r="H155"/>
  <c r="H162" s="1"/>
  <c r="H140"/>
  <c r="H147" s="1"/>
  <c r="H125"/>
  <c r="H132" s="1"/>
  <c r="H32"/>
  <c r="H39" s="1"/>
  <c r="E29" i="68"/>
  <c r="E11"/>
  <c r="E13" s="1"/>
  <c r="D27" i="69"/>
  <c r="G9"/>
  <c r="H31" i="68" s="1"/>
  <c r="J44" i="61"/>
  <c r="F23" i="68"/>
  <c r="E38" i="21"/>
  <c r="E40" s="1"/>
  <c r="E45" s="1"/>
  <c r="F165" i="29"/>
  <c r="F166" s="1"/>
  <c r="F167" s="1"/>
  <c r="F135"/>
  <c r="F136" s="1"/>
  <c r="F137" s="1"/>
  <c r="F180"/>
  <c r="F181" s="1"/>
  <c r="F182" s="1"/>
  <c r="F150"/>
  <c r="F151" s="1"/>
  <c r="F152" s="1"/>
  <c r="F41"/>
  <c r="F43" s="1"/>
  <c r="H15" i="21"/>
  <c r="I170" i="29"/>
  <c r="I177" s="1"/>
  <c r="I155"/>
  <c r="I162" s="1"/>
  <c r="I140"/>
  <c r="I147" s="1"/>
  <c r="I125"/>
  <c r="I132" s="1"/>
  <c r="I32"/>
  <c r="I39" s="1"/>
  <c r="I97" i="55"/>
  <c r="F29" i="68"/>
  <c r="F11"/>
  <c r="F13" s="1"/>
  <c r="E27" i="69"/>
  <c r="F47" i="29"/>
  <c r="C94"/>
  <c r="C83"/>
  <c r="C15"/>
  <c r="D22"/>
  <c r="C71"/>
  <c r="E20" i="62"/>
  <c r="K41" i="61"/>
  <c r="J94" i="55"/>
  <c r="J97" s="1"/>
  <c r="K12" i="61"/>
  <c r="O67" i="22"/>
  <c r="O52"/>
  <c r="I49"/>
  <c r="H68"/>
  <c r="F97"/>
  <c r="G45" i="29"/>
  <c r="H18" i="21" l="1"/>
  <c r="H25" s="1"/>
  <c r="K49" i="61"/>
  <c r="K54" s="1"/>
  <c r="H25" i="69" s="1"/>
  <c r="J107" i="55"/>
  <c r="J110" s="1"/>
  <c r="G23" i="68"/>
  <c r="F38" i="21"/>
  <c r="F40" s="1"/>
  <c r="F45" s="1"/>
  <c r="G135" i="29"/>
  <c r="G136" s="1"/>
  <c r="G137" s="1"/>
  <c r="G150"/>
  <c r="G151" s="1"/>
  <c r="G152" s="1"/>
  <c r="G165"/>
  <c r="G166" s="1"/>
  <c r="G167" s="1"/>
  <c r="G41"/>
  <c r="G43" s="1"/>
  <c r="G180"/>
  <c r="G181" s="1"/>
  <c r="G182" s="1"/>
  <c r="H6" i="68"/>
  <c r="K44" i="61"/>
  <c r="K55" s="1"/>
  <c r="H24" i="69" s="1"/>
  <c r="H9"/>
  <c r="I31" i="68" s="1"/>
  <c r="I55" i="61"/>
  <c r="F24" i="69" s="1"/>
  <c r="I6" i="68"/>
  <c r="G47" i="29"/>
  <c r="E22" i="62"/>
  <c r="D4" i="23"/>
  <c r="C10" i="68"/>
  <c r="C13" s="1"/>
  <c r="J55" i="61"/>
  <c r="G24" i="69" s="1"/>
  <c r="G18" i="21"/>
  <c r="G25" s="1"/>
  <c r="J49" i="61"/>
  <c r="J54" s="1"/>
  <c r="G25" i="69" s="1"/>
  <c r="H12" i="68" s="1"/>
  <c r="I107" i="55"/>
  <c r="I110" s="1"/>
  <c r="I52" i="22"/>
  <c r="I68" s="1"/>
  <c r="I65"/>
  <c r="H13" i="69" s="1"/>
  <c r="H15" s="1"/>
  <c r="P49" i="22"/>
  <c r="O68"/>
  <c r="H29" i="68" l="1"/>
  <c r="H11"/>
  <c r="G27" i="69"/>
  <c r="H13" i="68"/>
  <c r="C10" i="23"/>
  <c r="D8"/>
  <c r="I13" i="68"/>
  <c r="G29"/>
  <c r="G11"/>
  <c r="G13" s="1"/>
  <c r="F27" i="69"/>
  <c r="I12" i="68"/>
  <c r="G38" i="21"/>
  <c r="G40" s="1"/>
  <c r="G45" s="1"/>
  <c r="H23" i="68"/>
  <c r="H180" i="29"/>
  <c r="H181" s="1"/>
  <c r="H182" s="1"/>
  <c r="H165"/>
  <c r="H166" s="1"/>
  <c r="H167" s="1"/>
  <c r="H150"/>
  <c r="H151" s="1"/>
  <c r="H152" s="1"/>
  <c r="H41"/>
  <c r="H43" s="1"/>
  <c r="H135"/>
  <c r="H136" s="1"/>
  <c r="H137" s="1"/>
  <c r="I29" i="68"/>
  <c r="I11"/>
  <c r="H27" i="69"/>
  <c r="H31" s="1"/>
  <c r="I23" i="68"/>
  <c r="H38" i="21"/>
  <c r="H40" s="1"/>
  <c r="H45" s="1"/>
  <c r="I180" i="29"/>
  <c r="I181" s="1"/>
  <c r="I182" s="1"/>
  <c r="I150"/>
  <c r="I151" s="1"/>
  <c r="I152" s="1"/>
  <c r="I135"/>
  <c r="I136" s="1"/>
  <c r="I137" s="1"/>
  <c r="I41"/>
  <c r="I43" s="1"/>
  <c r="I165"/>
  <c r="I166" s="1"/>
  <c r="I167" s="1"/>
  <c r="P50" i="22"/>
  <c r="P52" s="1"/>
  <c r="P65"/>
  <c r="F18" i="23" l="1"/>
  <c r="F34"/>
  <c r="F50"/>
  <c r="F66"/>
  <c r="F83"/>
  <c r="F21"/>
  <c r="F37"/>
  <c r="F53"/>
  <c r="F69"/>
  <c r="F86"/>
  <c r="F78"/>
  <c r="F17"/>
  <c r="F65"/>
  <c r="F20"/>
  <c r="F36"/>
  <c r="F52"/>
  <c r="F68"/>
  <c r="F85"/>
  <c r="F23"/>
  <c r="F39"/>
  <c r="F55"/>
  <c r="F71"/>
  <c r="F88"/>
  <c r="F46"/>
  <c r="F81"/>
  <c r="F22"/>
  <c r="F38"/>
  <c r="F54"/>
  <c r="F70"/>
  <c r="F87"/>
  <c r="F25"/>
  <c r="F41"/>
  <c r="F57"/>
  <c r="F73"/>
  <c r="F90"/>
  <c r="F24"/>
  <c r="F40"/>
  <c r="F56"/>
  <c r="F72"/>
  <c r="F89"/>
  <c r="F27"/>
  <c r="F43"/>
  <c r="F59"/>
  <c r="F75"/>
  <c r="F92"/>
  <c r="F82"/>
  <c r="F49"/>
  <c r="F26"/>
  <c r="F42"/>
  <c r="F58"/>
  <c r="F74"/>
  <c r="F91"/>
  <c r="F29"/>
  <c r="F45"/>
  <c r="F61"/>
  <c r="F77"/>
  <c r="F62"/>
  <c r="F33"/>
  <c r="F28"/>
  <c r="F44"/>
  <c r="F60"/>
  <c r="F76"/>
  <c r="F93"/>
  <c r="F31"/>
  <c r="F47"/>
  <c r="F63"/>
  <c r="F79"/>
  <c r="F30"/>
  <c r="F16"/>
  <c r="F32"/>
  <c r="F48"/>
  <c r="F64"/>
  <c r="F80"/>
  <c r="F19"/>
  <c r="F35"/>
  <c r="F51"/>
  <c r="F67"/>
  <c r="F84"/>
  <c r="D10"/>
  <c r="F10" s="1"/>
  <c r="E10" s="1"/>
  <c r="G10" s="1"/>
  <c r="C11" s="1"/>
  <c r="Q49" i="22"/>
  <c r="P68"/>
  <c r="P66"/>
  <c r="P51"/>
  <c r="D11" i="23" l="1"/>
  <c r="F11" s="1"/>
  <c r="E11" s="1"/>
  <c r="G11" s="1"/>
  <c r="C12" s="1"/>
  <c r="P67" i="22"/>
  <c r="Q50"/>
  <c r="Q66" s="1"/>
  <c r="Q65"/>
  <c r="G97"/>
  <c r="H45" i="29"/>
  <c r="H47" s="1"/>
  <c r="D12" i="23" l="1"/>
  <c r="F12" s="1"/>
  <c r="E12" s="1"/>
  <c r="G12" s="1"/>
  <c r="C13" s="1"/>
  <c r="H97" i="22"/>
  <c r="I45" i="29"/>
  <c r="I47" s="1"/>
  <c r="C49" s="1"/>
  <c r="D28" i="62" s="1"/>
  <c r="Q51" i="22"/>
  <c r="Q67" s="1"/>
  <c r="Q52"/>
  <c r="Q68" s="1"/>
  <c r="D13" i="23" l="1"/>
  <c r="F13" s="1"/>
  <c r="E13" s="1"/>
  <c r="G13" s="1"/>
  <c r="C14" s="1"/>
  <c r="D14" l="1"/>
  <c r="F14" s="1"/>
  <c r="E14" s="1"/>
  <c r="G14" s="1"/>
  <c r="C15" s="1"/>
  <c r="D15" s="1"/>
  <c r="F15" s="1"/>
  <c r="E15" s="1"/>
  <c r="G15" s="1"/>
  <c r="C16" s="1"/>
  <c r="D16" l="1"/>
  <c r="E16" s="1"/>
  <c r="G16" s="1"/>
  <c r="C17" s="1"/>
  <c r="D17" l="1"/>
  <c r="E17" s="1"/>
  <c r="G17" s="1"/>
  <c r="C18" s="1"/>
  <c r="D18" l="1"/>
  <c r="E18" s="1"/>
  <c r="G18" s="1"/>
  <c r="C19" s="1"/>
  <c r="D19" l="1"/>
  <c r="E19" s="1"/>
  <c r="G19" s="1"/>
  <c r="C20" s="1"/>
  <c r="D20" l="1"/>
  <c r="E20" s="1"/>
  <c r="G20" s="1"/>
  <c r="C21" s="1"/>
  <c r="D21" l="1"/>
  <c r="E21" l="1"/>
  <c r="C27" i="68"/>
  <c r="C26" l="1"/>
  <c r="G21" i="23"/>
  <c r="B47" i="21"/>
  <c r="B49" s="1"/>
  <c r="C112" i="29"/>
  <c r="C115" l="1"/>
  <c r="B95" i="22"/>
  <c r="B98" s="1"/>
  <c r="B99" s="1"/>
  <c r="B50" i="21" s="1"/>
  <c r="C30" i="68" s="1"/>
  <c r="C34" s="1"/>
  <c r="C35" s="1"/>
  <c r="C37" s="1"/>
  <c r="J40" i="21"/>
  <c r="J42" s="1"/>
  <c r="C22" i="23"/>
  <c r="B28" i="69"/>
  <c r="B31" s="1"/>
  <c r="D36" i="68" l="1"/>
  <c r="B8" i="69"/>
  <c r="B11" s="1"/>
  <c r="B20" s="1"/>
  <c r="D22" i="23"/>
  <c r="B51" i="21"/>
  <c r="E22" i="23" l="1"/>
  <c r="C109" i="29"/>
  <c r="C113" s="1"/>
  <c r="C117" s="1"/>
  <c r="B53" i="21"/>
  <c r="D9" i="29"/>
  <c r="D14" s="1"/>
  <c r="D95"/>
  <c r="D98" s="1"/>
  <c r="D99" s="1"/>
  <c r="C58"/>
  <c r="C63" s="1"/>
  <c r="C67" s="1"/>
  <c r="C80"/>
  <c r="D15" l="1"/>
  <c r="B37" i="69"/>
  <c r="B39" s="1"/>
  <c r="G22" i="23"/>
  <c r="C23" s="1"/>
  <c r="C36" i="69" l="1"/>
  <c r="B41"/>
  <c r="B43" s="1"/>
  <c r="B46" s="1"/>
  <c r="D23" i="23"/>
  <c r="E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7" i="68"/>
  <c r="D26" l="1"/>
  <c r="G33" i="23"/>
  <c r="C47" i="21"/>
  <c r="C49" s="1"/>
  <c r="D112" i="29"/>
  <c r="D115" l="1"/>
  <c r="C95" i="22"/>
  <c r="C98" s="1"/>
  <c r="C99" s="1"/>
  <c r="C50" i="21" s="1"/>
  <c r="D30" i="68" s="1"/>
  <c r="D34" s="1"/>
  <c r="D35" s="1"/>
  <c r="D37" s="1"/>
  <c r="C34" i="23"/>
  <c r="C28" i="69"/>
  <c r="C31" s="1"/>
  <c r="E36" i="68" l="1"/>
  <c r="C8" i="69"/>
  <c r="C11" s="1"/>
  <c r="C20" s="1"/>
  <c r="D34" i="23"/>
  <c r="C51" i="21"/>
  <c r="E34" i="23" l="1"/>
  <c r="D109" i="29"/>
  <c r="D113" s="1"/>
  <c r="D117" s="1"/>
  <c r="C37" i="69"/>
  <c r="C39" s="1"/>
  <c r="E9" i="29"/>
  <c r="E14" s="1"/>
  <c r="D80"/>
  <c r="E95"/>
  <c r="E98" s="1"/>
  <c r="E99" s="1"/>
  <c r="D58"/>
  <c r="D63" s="1"/>
  <c r="D67" s="1"/>
  <c r="C53" i="21"/>
  <c r="E15" i="29" l="1"/>
  <c r="D36" i="69"/>
  <c r="C41"/>
  <c r="C43" s="1"/>
  <c r="C46" s="1"/>
  <c r="G34" i="23"/>
  <c r="C35" s="1"/>
  <c r="D35" l="1"/>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7" i="68"/>
  <c r="E26" l="1"/>
  <c r="G45" i="23"/>
  <c r="D47" i="21"/>
  <c r="D49" s="1"/>
  <c r="E112" i="29"/>
  <c r="D95" i="22" l="1"/>
  <c r="D98" s="1"/>
  <c r="D99" s="1"/>
  <c r="D50" i="21" s="1"/>
  <c r="E30" i="68" s="1"/>
  <c r="E34" s="1"/>
  <c r="E35" s="1"/>
  <c r="E37" s="1"/>
  <c r="E115" i="29"/>
  <c r="C46" i="23"/>
  <c r="D28" i="69"/>
  <c r="D31" s="1"/>
  <c r="D46" i="23" l="1"/>
  <c r="F36" i="68"/>
  <c r="D8" i="69"/>
  <c r="D11" s="1"/>
  <c r="D20" s="1"/>
  <c r="D51" i="21"/>
  <c r="E46" i="23" l="1"/>
  <c r="E109" i="29"/>
  <c r="E113" s="1"/>
  <c r="E117" s="1"/>
  <c r="D37" i="69"/>
  <c r="D39" s="1"/>
  <c r="F9" i="29"/>
  <c r="F14" s="1"/>
  <c r="F95"/>
  <c r="F98" s="1"/>
  <c r="F99" s="1"/>
  <c r="E58"/>
  <c r="E63" s="1"/>
  <c r="E67" s="1"/>
  <c r="E80"/>
  <c r="D53" i="21"/>
  <c r="F15" i="29" l="1"/>
  <c r="E36" i="69"/>
  <c r="D41"/>
  <c r="D43" s="1"/>
  <c r="D46" s="1"/>
  <c r="G46" i="23"/>
  <c r="C47" s="1"/>
  <c r="D47"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7" i="68"/>
  <c r="F26" l="1"/>
  <c r="G57" i="23"/>
  <c r="E47" i="21"/>
  <c r="E49" s="1"/>
  <c r="F112" i="29"/>
  <c r="F115" l="1"/>
  <c r="E95" i="22"/>
  <c r="E98" s="1"/>
  <c r="E99" s="1"/>
  <c r="E50" i="21" s="1"/>
  <c r="F30" i="68" s="1"/>
  <c r="F34" s="1"/>
  <c r="F35" s="1"/>
  <c r="F37" s="1"/>
  <c r="C58" i="23"/>
  <c r="E28" i="69"/>
  <c r="E31" s="1"/>
  <c r="G36" i="68" l="1"/>
  <c r="E8" i="69"/>
  <c r="E11" s="1"/>
  <c r="E20" s="1"/>
  <c r="D58" i="23"/>
  <c r="E51" i="21"/>
  <c r="E58" i="23" l="1"/>
  <c r="F109" i="29"/>
  <c r="F113" s="1"/>
  <c r="F117" s="1"/>
  <c r="E37" i="69"/>
  <c r="E39" s="1"/>
  <c r="G9" i="29"/>
  <c r="G14" s="1"/>
  <c r="F80"/>
  <c r="G95"/>
  <c r="G98" s="1"/>
  <c r="G99" s="1"/>
  <c r="F58"/>
  <c r="F63" s="1"/>
  <c r="F67" s="1"/>
  <c r="E53" i="21"/>
  <c r="G15" i="29" l="1"/>
  <c r="F36" i="69"/>
  <c r="E41"/>
  <c r="E43" s="1"/>
  <c r="E46" s="1"/>
  <c r="G58" i="23"/>
  <c r="C59" s="1"/>
  <c r="D59"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7" i="68"/>
  <c r="G26" l="1"/>
  <c r="G69" i="23"/>
  <c r="F47" i="21"/>
  <c r="F49" s="1"/>
  <c r="G112" i="29"/>
  <c r="F95" i="22" l="1"/>
  <c r="F98" s="1"/>
  <c r="F99" s="1"/>
  <c r="F50" i="21" s="1"/>
  <c r="G30" i="68" s="1"/>
  <c r="G34" s="1"/>
  <c r="G35" s="1"/>
  <c r="G37" s="1"/>
  <c r="G115" i="29"/>
  <c r="C70" i="23"/>
  <c r="F28" i="69"/>
  <c r="F31" s="1"/>
  <c r="D70" i="23" l="1"/>
  <c r="H36" i="68"/>
  <c r="F8" i="69"/>
  <c r="F11" s="1"/>
  <c r="F20" s="1"/>
  <c r="F51" i="21"/>
  <c r="E70" i="23" l="1"/>
  <c r="G109" i="29"/>
  <c r="G113" s="1"/>
  <c r="G117" s="1"/>
  <c r="F37" i="69"/>
  <c r="F39" s="1"/>
  <c r="H9" i="29"/>
  <c r="H14" s="1"/>
  <c r="H95"/>
  <c r="H98" s="1"/>
  <c r="G58"/>
  <c r="G63" s="1"/>
  <c r="G67" s="1"/>
  <c r="G80"/>
  <c r="F53" i="21"/>
  <c r="H15" i="29" l="1"/>
  <c r="H99"/>
  <c r="D101"/>
  <c r="D32" i="62" s="1"/>
  <c r="G36" i="69"/>
  <c r="F41"/>
  <c r="F43" s="1"/>
  <c r="F46" s="1"/>
  <c r="G70" i="23"/>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7" i="68"/>
  <c r="H26" l="1"/>
  <c r="G81" i="23"/>
  <c r="G47" i="21"/>
  <c r="G49" s="1"/>
  <c r="H112" i="29"/>
  <c r="G95" i="22" l="1"/>
  <c r="G98" s="1"/>
  <c r="G99" s="1"/>
  <c r="G50" i="21" s="1"/>
  <c r="H30" i="68" s="1"/>
  <c r="H34" s="1"/>
  <c r="H35" s="1"/>
  <c r="H37" s="1"/>
  <c r="H115" i="29"/>
  <c r="C82" i="23"/>
  <c r="G28" i="69"/>
  <c r="G31" s="1"/>
  <c r="I36" i="68" l="1"/>
  <c r="G8" i="69"/>
  <c r="G11" s="1"/>
  <c r="G20" s="1"/>
  <c r="D82" i="23"/>
  <c r="G51" i="21"/>
  <c r="E82" i="23" l="1"/>
  <c r="H109" i="29"/>
  <c r="H113" s="1"/>
  <c r="H117" s="1"/>
  <c r="G37" i="69"/>
  <c r="G39" s="1"/>
  <c r="I9" i="29"/>
  <c r="I14" s="1"/>
  <c r="I95"/>
  <c r="I98" s="1"/>
  <c r="H80"/>
  <c r="H58"/>
  <c r="H63" s="1"/>
  <c r="H67" s="1"/>
  <c r="G53" i="21"/>
  <c r="I15" i="29" l="1"/>
  <c r="H36" i="69"/>
  <c r="G41"/>
  <c r="G43" s="1"/>
  <c r="G46" s="1"/>
  <c r="G82" i="23"/>
  <c r="C83" s="1"/>
  <c r="D8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7" i="68"/>
  <c r="H47" i="21" l="1"/>
  <c r="H49" s="1"/>
  <c r="I112" i="29"/>
  <c r="E94" i="23"/>
  <c r="I26" i="68"/>
  <c r="G93" i="23"/>
  <c r="H95" i="22" l="1"/>
  <c r="H98" s="1"/>
  <c r="H99" s="1"/>
  <c r="H50" i="21" s="1"/>
  <c r="I30" i="68" s="1"/>
  <c r="I34" s="1"/>
  <c r="I35" s="1"/>
  <c r="I37" s="1"/>
  <c r="H8" i="69" s="1"/>
  <c r="H11" s="1"/>
  <c r="H20" s="1"/>
  <c r="I115" i="29"/>
  <c r="H51" i="21" l="1"/>
  <c r="I109" i="29" l="1"/>
  <c r="I113" s="1"/>
  <c r="I117" s="1"/>
  <c r="C119" s="1"/>
  <c r="D33" i="62" s="1"/>
  <c r="H37" i="69"/>
  <c r="H39" s="1"/>
  <c r="H41" s="1"/>
  <c r="H43" s="1"/>
  <c r="H46" s="1"/>
  <c r="J9" i="29"/>
  <c r="J14" s="1"/>
  <c r="J95"/>
  <c r="J98" s="1"/>
  <c r="I58"/>
  <c r="I63" s="1"/>
  <c r="I67" s="1"/>
  <c r="C69" s="1"/>
  <c r="C73" s="1"/>
  <c r="D31" i="62" s="1"/>
  <c r="I80" i="29"/>
  <c r="C82" s="1"/>
  <c r="C85" s="1"/>
  <c r="D29" i="62" s="1"/>
  <c r="H53" i="21"/>
  <c r="J15" i="29" l="1"/>
  <c r="C16" s="1"/>
  <c r="D18" l="1"/>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<sst xmlns="http://schemas.openxmlformats.org/spreadsheetml/2006/main" count="1378" uniqueCount="771">
  <si>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</si>
  <si>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</si>
  <si>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</si>
  <si>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</si>
  <si>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</si>
  <si>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</si>
  <si>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</si>
  <si>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</si>
  <si>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</si>
  <si>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</si>
  <si>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</si>
  <si>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</si>
  <si>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</si>
  <si>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</si>
  <si>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</si>
  <si>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</si>
  <si>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</si>
  <si>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</si>
  <si>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</si>
  <si>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</si>
  <si>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</si>
  <si>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</si>
  <si>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</si>
  <si>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</si>
  <si>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</si>
  <si>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</si>
  <si>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</si>
  <si>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</si>
  <si>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</si>
  <si>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</si>
  <si>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</si>
  <si>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</si>
  <si>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</si>
  <si>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</si>
  <si>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</si>
  <si>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</si>
  <si>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</si>
  <si>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</si>
  <si>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</si>
  <si>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</si>
  <si>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</si>
  <si>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</si>
  <si>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</si>
  <si>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</si>
  <si>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</si>
  <si>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</si>
  <si>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</si>
  <si>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</si>
  <si>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</si>
  <si>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</si>
  <si>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</si>
  <si>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</si>
  <si>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</si>
  <si>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</si>
  <si>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</si>
  <si>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</si>
  <si>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</si>
  <si>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</si>
  <si>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</si>
  <si>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</si>
  <si>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</si>
  <si>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</si>
  <si>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</si>
  <si>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</si>
  <si>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</si>
  <si>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</si>
  <si>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</si>
  <si>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</si>
  <si>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</si>
  <si>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</si>
  <si>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</si>
  <si>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</si>
  <si>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</si>
  <si>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</si>
  <si>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</si>
  <si>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</si>
  <si>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</si>
  <si>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</si>
  <si>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</si>
  <si>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</si>
  <si>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</si>
  <si>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</si>
  <si>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</si>
  <si>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</si>
  <si>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</si>
  <si>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</si>
  <si>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</si>
  <si>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</si>
  <si>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</si>
  <si>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</si>
  <si>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</si>
  <si>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</si>
  <si>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</si>
  <si>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</si>
  <si>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</si>
  <si>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</si>
  <si>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</si>
  <si>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</si>
  <si>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</si>
  <si>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</si>
  <si>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</si>
  <si>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</si>
  <si>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</si>
  <si>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</si>
  <si>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</si>
  <si>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</si>
  <si>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</si>
  <si>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</si>
  <si>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</si>
  <si>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</si>
  <si>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</si>
  <si>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</si>
  <si>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</si>
  <si>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</si>
  <si>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</si>
  <si>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</si>
  <si>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</si>
  <si>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</si>
  <si>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</si>
  <si>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</si>
  <si>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</si>
  <si>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</si>
  <si>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</si>
  <si>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</si>
  <si>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</si>
  <si>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</si>
  <si>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</si>
  <si>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</si>
  <si>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</si>
  <si>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</si>
  <si>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</si>
  <si>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</si>
  <si>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</si>
  <si>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</si>
  <si>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</si>
  <si>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</si>
  <si>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</si>
  <si>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</si>
  <si>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</si>
  <si>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</si>
  <si>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</si>
  <si>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</si>
  <si>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</si>
  <si>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</si>
  <si>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</si>
  <si>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</si>
  <si>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</si>
  <si>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</si>
  <si>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</si>
  <si>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</si>
  <si>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</si>
  <si>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</si>
  <si>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</si>
  <si>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</si>
  <si>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</si>
  <si>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</si>
  <si>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</si>
  <si>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</si>
  <si>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</si>
  <si>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</si>
  <si>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</si>
  <si>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</si>
  <si>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</si>
  <si>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</si>
  <si>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</si>
  <si>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</si>
  <si>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</si>
  <si>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</si>
  <si>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</si>
  <si>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</si>
  <si>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</si>
  <si>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</si>
  <si>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</si>
  <si>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</si>
  <si>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</si>
  <si>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</si>
  <si>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</si>
  <si>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</si>
  <si>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</si>
  <si>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</si>
  <si>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</si>
  <si>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</si>
  <si>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</si>
  <si>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</si>
  <si>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</si>
  <si>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</si>
  <si>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</si>
  <si>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</si>
  <si>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</si>
  <si>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</si>
  <si>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</si>
  <si>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</si>
  <si>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</si>
  <si>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</si>
  <si>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</si>
  <si>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</si>
  <si>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</si>
  <si>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</si>
  <si>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</si>
  <si>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</si>
  <si>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</si>
  <si>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</si>
  <si>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</si>
  <si>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</si>
  <si>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</si>
  <si>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</si>
  <si>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</si>
  <si>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</si>
  <si>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</si>
  <si>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</si>
  <si>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</si>
  <si>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</si>
  <si>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</si>
  <si>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</si>
  <si>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</si>
  <si>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</si>
  <si>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</si>
  <si>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</si>
  <si>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</si>
  <si>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</si>
  <si>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</si>
  <si>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</si>
  <si>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</si>
  <si>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</si>
  <si>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</si>
  <si>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</si>
  <si>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</si>
  <si>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</si>
  <si>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</si>
  <si>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</si>
  <si>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</si>
  <si>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</si>
  <si>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</si>
  <si>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</si>
  <si>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</si>
  <si>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</si>
  <si>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</si>
  <si>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</si>
  <si>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</si>
  <si>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</si>
  <si>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</si>
  <si>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</si>
  <si>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</si>
  <si>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</si>
  <si>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</si>
  <si>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</si>
  <si>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</si>
  <si>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</si>
  <si>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</si>
  <si>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</si>
  <si>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</si>
  <si>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</si>
  <si>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</si>
  <si>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</si>
  <si>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</si>
  <si>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</si>
  <si>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</si>
  <si>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</si>
  <si>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</si>
  <si>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</si>
  <si>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</si>
  <si>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</si>
  <si>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</si>
  <si>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</si>
  <si>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</si>
  <si>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</si>
  <si>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</si>
  <si>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</si>
  <si>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</si>
  <si>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</si>
  <si>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</si>
  <si>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</si>
  <si>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</si>
  <si>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</si>
  <si>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</si>
  <si>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</si>
  <si>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</si>
  <si>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</si>
  <si>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</si>
  <si>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</si>
  <si>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</si>
  <si>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</si>
  <si>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</si>
  <si>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</si>
  <si>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</si>
  <si>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</si>
  <si>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</si>
  <si>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</si>
  <si>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</si>
  <si>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</si>
  <si>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</si>
  <si>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</si>
  <si>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</si>
  <si>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</si>
  <si>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</si>
  <si>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</si>
  <si>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</si>
  <si>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</si>
  <si>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</si>
  <si>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</si>
  <si>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</si>
  <si>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</si>
  <si>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</si>
  <si>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</si>
  <si>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</si>
  <si>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</si>
  <si>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</si>
  <si>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</si>
  <si>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</si>
  <si>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</si>
  <si>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</si>
  <si>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</si>
  <si>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</si>
  <si>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</si>
  <si>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</si>
  <si>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</si>
  <si>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</si>
  <si>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</si>
  <si>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</si>
  <si>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</si>
  <si>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</si>
  <si>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</si>
  <si>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</si>
  <si>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</si>
  <si>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</si>
  <si>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</si>
  <si>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</si>
  <si>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</si>
  <si>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</si>
  <si>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</si>
  <si>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</si>
  <si>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</si>
  <si>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</si>
  <si>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</si>
  <si>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</si>
  <si>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</si>
  <si>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</si>
  <si>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</si>
  <si>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</si>
  <si>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</si>
  <si>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</si>
  <si>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</si>
  <si>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</si>
  <si>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</si>
  <si>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</si>
  <si>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</si>
  <si>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</si>
  <si>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</si>
  <si>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</si>
  <si>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</si>
  <si>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</si>
  <si>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</si>
  <si>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</si>
  <si>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</si>
  <si>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</si>
  <si>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</si>
  <si>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</si>
  <si>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</si>
  <si>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</si>
  <si>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</si>
  <si>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</si>
  <si>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</si>
  <si>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</si>
  <si>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</si>
  <si>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</si>
  <si>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</si>
  <si>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</si>
  <si>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</si>
  <si>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</si>
  <si>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</si>
  <si>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</si>
  <si>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</si>
  <si>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</si>
  <si>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</si>
  <si>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</si>
  <si>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</si>
  <si>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</si>
  <si>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</si>
  <si>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</si>
  <si>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</si>
  <si>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</si>
  <si>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</si>
  <si>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</si>
  <si>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</si>
  <si>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</si>
  <si>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</si>
  <si>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No.of Unit</t>
  </si>
  <si>
    <t>No.</t>
  </si>
  <si>
    <t>Months</t>
  </si>
  <si>
    <t>Lumsum</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</si>
  <si>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</si>
  <si>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</si>
  <si>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</si>
  <si>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</si>
  <si>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</si>
  <si>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</si>
  <si>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</si>
  <si>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</si>
  <si>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</si>
  <si>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</si>
  <si>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</si>
  <si>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</si>
  <si>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</si>
  <si>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</si>
  <si>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</si>
  <si>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</si>
  <si>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</si>
  <si>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</si>
  <si>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</si>
  <si>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</si>
  <si>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</si>
  <si>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</si>
  <si>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</si>
  <si>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</si>
  <si>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</si>
  <si>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</si>
  <si>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</si>
  <si>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</si>
  <si>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</si>
  <si>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</si>
  <si>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</si>
  <si>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</si>
  <si>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</si>
  <si>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</si>
  <si>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</si>
  <si>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</si>
  <si>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</si>
  <si>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</si>
  <si>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</si>
  <si>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</si>
  <si>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</si>
  <si>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</si>
  <si>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</si>
  <si>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</si>
  <si>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</si>
  <si>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</si>
  <si>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</si>
  <si>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</si>
  <si>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</si>
  <si>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</si>
  <si>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</si>
  <si>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</si>
  <si>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</si>
  <si>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</si>
  <si>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</si>
  <si>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</si>
  <si>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</si>
  <si>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</si>
  <si>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</si>
  <si>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</si>
  <si>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</si>
  <si>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</si>
  <si>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</si>
  <si>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</si>
  <si>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</si>
  <si>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</si>
  <si>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</si>
  <si>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</si>
  <si>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</si>
  <si>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</si>
  <si>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</si>
  <si>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</si>
  <si>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</si>
  <si>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</si>
  <si>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</si>
  <si>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</si>
  <si>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</si>
  <si>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</si>
  <si>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</si>
  <si>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</si>
  <si>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</si>
  <si>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</si>
  <si>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</si>
  <si>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Area Under Summer Cultivation ( In Acres)</t>
  </si>
  <si>
    <t>Area Under Rabbi Cultivation ( In Acres)</t>
  </si>
  <si>
    <t>Pomegranate</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</si>
  <si>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</si>
  <si>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</si>
  <si>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</si>
  <si>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</si>
  <si>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</si>
  <si>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</si>
  <si>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</si>
  <si>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</si>
  <si>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</si>
  <si>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</si>
  <si>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</si>
  <si>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</si>
  <si>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</si>
  <si>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</si>
  <si>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</si>
  <si>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</si>
  <si>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</si>
  <si>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</si>
  <si>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</si>
  <si>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</si>
  <si>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</si>
  <si>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No.of Working Days</t>
  </si>
  <si>
    <t>Pomegranate Juice</t>
  </si>
  <si>
    <t>Pomegranate Powder</t>
  </si>
  <si>
    <t>Pomegranate Arils</t>
  </si>
  <si>
    <t>Ltrs</t>
  </si>
  <si>
    <t>Pomegranate Juice 1 Ltrs</t>
  </si>
  <si>
    <t>Pomegranate Peel Powder1 Kg</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</si>
  <si>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</si>
  <si>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</si>
  <si>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</si>
  <si>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</si>
  <si>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</si>
  <si>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</si>
  <si>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</si>
  <si>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</si>
  <si>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</si>
  <si>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</si>
  <si>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</si>
  <si>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</si>
  <si>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</si>
  <si>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</si>
  <si>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</si>
  <si>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</si>
  <si>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</si>
  <si>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</si>
  <si>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</si>
  <si>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</si>
  <si>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</si>
  <si>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</si>
  <si>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</si>
  <si>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</si>
  <si>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</si>
  <si>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</si>
  <si>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</si>
  <si>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</si>
  <si>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</si>
  <si>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</si>
  <si>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</si>
  <si>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</si>
  <si>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</si>
  <si>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</si>
  <si>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</si>
  <si>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</si>
  <si>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</si>
  <si>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</si>
  <si>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</si>
  <si>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</si>
  <si>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</si>
  <si>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</si>
  <si>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</si>
  <si>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</si>
  <si>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</si>
  <si>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</si>
  <si>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</si>
  <si>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</si>
  <si>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</si>
  <si>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</si>
  <si>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</si>
  <si>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</si>
  <si>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</si>
  <si>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</si>
  <si>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</si>
  <si>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</si>
  <si>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</si>
  <si>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</si>
  <si>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</si>
  <si>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</si>
  <si>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</si>
  <si>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</si>
  <si>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</si>
  <si>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</si>
  <si>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</si>
  <si>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</si>
  <si>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</si>
  <si>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</si>
  <si>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</si>
  <si>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</si>
  <si>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</si>
  <si>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</si>
  <si>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</si>
  <si>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</si>
  <si>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</si>
  <si>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</si>
  <si>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</si>
  <si>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</si>
  <si>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</si>
  <si>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</si>
  <si>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</si>
  <si>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</si>
  <si>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</si>
  <si>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</si>
  <si>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</si>
  <si>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</si>
  <si>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</si>
  <si>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</si>
  <si>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</si>
  <si>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</si>
  <si>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</si>
  <si>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</si>
  <si>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</si>
  <si>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</si>
  <si>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</si>
  <si>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</si>
  <si>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</si>
  <si>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</si>
  <si>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</si>
  <si>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</si>
  <si>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</si>
  <si>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</si>
  <si>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</si>
  <si>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</si>
  <si>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</si>
  <si>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</si>
  <si>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</si>
  <si>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</si>
  <si>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</si>
  <si>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</si>
  <si>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</si>
  <si>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</si>
  <si>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</si>
  <si>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</si>
  <si>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</si>
  <si>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</si>
  <si>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</si>
  <si>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</si>
  <si>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</si>
  <si>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</si>
  <si>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</si>
  <si>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</si>
  <si>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</si>
  <si>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</si>
  <si>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</si>
  <si>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</si>
  <si>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</si>
  <si>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</si>
  <si>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</si>
  <si>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</si>
  <si>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</si>
  <si>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</si>
  <si>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</si>
  <si>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</si>
  <si>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</si>
  <si>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</si>
  <si>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</si>
  <si>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</si>
  <si>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</si>
  <si>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</si>
  <si>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</si>
  <si>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</si>
  <si>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</si>
  <si>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</si>
  <si>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</si>
  <si>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</si>
  <si>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</si>
  <si>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</si>
  <si>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</si>
  <si>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</si>
  <si>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</si>
  <si>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cashew nuts</t>
  </si>
  <si>
    <t>sft</t>
  </si>
  <si>
    <t>150kg</t>
  </si>
  <si>
    <t>35kg</t>
  </si>
  <si>
    <t>25kg</t>
  </si>
  <si>
    <t>50kg</t>
  </si>
  <si>
    <t>Moisture cabin</t>
  </si>
  <si>
    <t>Trolley set</t>
  </si>
  <si>
    <t>Compressor 10hp screw compressor</t>
  </si>
  <si>
    <t>6 mc</t>
  </si>
  <si>
    <t>Solar grid</t>
  </si>
  <si>
    <t>10 KW</t>
  </si>
  <si>
    <t>200kg</t>
  </si>
  <si>
    <t>Tables</t>
  </si>
  <si>
    <t>Chairs</t>
  </si>
  <si>
    <t>Cupboards ( glass door)</t>
  </si>
  <si>
    <t>Mouse cordless</t>
  </si>
  <si>
    <t>UPS 2 hrs backup</t>
  </si>
  <si>
    <t>Isuzu Pickup van</t>
  </si>
  <si>
    <t>REGISTERATION CHARGES</t>
  </si>
  <si>
    <t>Single head cashew Peeling machine</t>
  </si>
  <si>
    <t>Cashew Borma Dryer</t>
  </si>
  <si>
    <t>Automatic cashew cutter</t>
  </si>
  <si>
    <t>Conveyor for oscillator</t>
  </si>
  <si>
    <t>Oscillator/ scooping line</t>
  </si>
  <si>
    <t>575 4WD Tractor</t>
  </si>
  <si>
    <t>Two wheel tractor trolley 6x10</t>
  </si>
  <si>
    <t>Nano Sorter Shuka Neo grading</t>
  </si>
  <si>
    <t>6 Kva stabiliser with wiring kit</t>
  </si>
  <si>
    <t>Semiautomatic ropp caping machine</t>
  </si>
  <si>
    <t>Semi auto level filling machine (Bottle Filling)</t>
  </si>
  <si>
    <t>Pneumatic crown capping machine</t>
  </si>
  <si>
    <t>Isuzu Pickup Van</t>
  </si>
  <si>
    <t>40 inch Monitor</t>
  </si>
  <si>
    <t>CCTV 8 channel</t>
  </si>
  <si>
    <t>Lenovo comercial laptop</t>
  </si>
  <si>
    <t>Brother DCP T520W Printer</t>
  </si>
  <si>
    <t>Keyboard mouse cordless</t>
  </si>
  <si>
    <t>VGI cutter  cashew shell cutting</t>
  </si>
  <si>
    <t>VGI700 Oil expeller machine 4500W</t>
  </si>
  <si>
    <t>Single chamber sealing machine (Pouch )</t>
  </si>
  <si>
    <t>Vita Packing machine (Tin)</t>
  </si>
  <si>
    <t>Steam cooker system</t>
  </si>
  <si>
    <t>Processing unit</t>
  </si>
  <si>
    <t>Godown( 400 ton )</t>
  </si>
  <si>
    <t>Calibarator Sizing machine Raw cashew</t>
  </si>
  <si>
    <t>600Kg</t>
  </si>
  <si>
    <t>50 kg</t>
  </si>
  <si>
    <t>1500 bottles</t>
  </si>
  <si>
    <t>750 bottles</t>
  </si>
  <si>
    <t>40 kg</t>
  </si>
  <si>
    <t>500 bottles</t>
  </si>
  <si>
    <t>1500kg</t>
  </si>
  <si>
    <t>Cashew Apple</t>
  </si>
  <si>
    <t>50 KG</t>
  </si>
  <si>
    <t>Cashew Nut</t>
  </si>
  <si>
    <t>Cashew Karnel</t>
  </si>
  <si>
    <t>Cashew Shell</t>
  </si>
  <si>
    <t>Raw Cashew Nut</t>
  </si>
  <si>
    <t>500 Gm</t>
  </si>
  <si>
    <t>1 Kg</t>
  </si>
  <si>
    <t>10 Kg</t>
  </si>
  <si>
    <t>Raw Cashew nut</t>
  </si>
  <si>
    <t>packaging Exp - 500 gm</t>
  </si>
  <si>
    <t>Oil</t>
  </si>
  <si>
    <t>Vinegar</t>
  </si>
  <si>
    <t>Average Working Days</t>
  </si>
  <si>
    <t>Oil Bottle</t>
  </si>
  <si>
    <t>PAT</t>
  </si>
  <si>
    <t xml:space="preserve">RoCE  for the project shall be more than 12% </t>
  </si>
  <si>
    <t xml:space="preserve">The project internal rate of return shall be more than 10% </t>
  </si>
  <si>
    <t>FPC Contribution (%)</t>
  </si>
  <si>
    <t>Output (Quintals)</t>
  </si>
  <si>
    <t>Quanity for Processing</t>
  </si>
  <si>
    <t>Facility 2 - Grain Processing Unit - Cashew Nut Processing Unit</t>
  </si>
  <si>
    <t xml:space="preserve">13.2 Facility 2 - Profit and loss of Cashew Nut Processing Unit </t>
  </si>
  <si>
    <t xml:space="preserve">Job Work </t>
  </si>
  <si>
    <t>Quanity for trading of Cashew Nut</t>
  </si>
  <si>
    <t xml:space="preserve">Quantity for sale </t>
  </si>
  <si>
    <t>Vinegar 1 Ltrs</t>
  </si>
  <si>
    <t>17.2 Activity 6 - Profit and loss of Cashew Apple Processing Unit</t>
  </si>
  <si>
    <t>Cashew Nut Trading</t>
  </si>
  <si>
    <t xml:space="preserve">Cashew Nut Processing </t>
  </si>
  <si>
    <t xml:space="preserve">Cashew Apple Processing </t>
  </si>
  <si>
    <t>Cashew Nut Processing</t>
  </si>
  <si>
    <t>Cashew Apple Processing</t>
  </si>
  <si>
    <t>Facility 1 - Cashew Nut Trading</t>
  </si>
  <si>
    <t>Facility 2 - Cashew Nut Processing</t>
  </si>
  <si>
    <t>Facility 3 - Cashew Apple Processing</t>
  </si>
  <si>
    <t>Increase Short Term Loan</t>
  </si>
  <si>
    <t>Increase in Account Payable</t>
  </si>
  <si>
    <t>Increase in Account Receivable</t>
  </si>
  <si>
    <t>Increase in Closing Stock</t>
  </si>
  <si>
    <t>11.4 Quantity of Marketable Surplus Produce Considered for Cashew Apple Processing Business</t>
  </si>
  <si>
    <t>11.4 Quantity of Marketable Surplus Produce Considered for Cashew Nut Processing Business</t>
  </si>
  <si>
    <t xml:space="preserve">      &gt;2</t>
  </si>
  <si>
    <t>Cabinet type dehydrator (24 trays)</t>
  </si>
  <si>
    <t>De Humidifier</t>
  </si>
  <si>
    <t>1000 sq ft</t>
  </si>
  <si>
    <t>Yale 1.5 Ton BOPT Model - MPC15</t>
  </si>
  <si>
    <t>Transport vehicle  (Refer van and other)</t>
  </si>
  <si>
    <t>100kg</t>
  </si>
  <si>
    <t>2 ft</t>
  </si>
  <si>
    <t xml:space="preserve">Coating Pan </t>
  </si>
  <si>
    <t>Tender cashew cutter</t>
  </si>
  <si>
    <t>Semi auto stisker labelling machine</t>
  </si>
  <si>
    <t>600 labels</t>
  </si>
  <si>
    <t>Yale 1.5 Ton stacker Model -MS15XUX  4.5M Lift Height</t>
  </si>
  <si>
    <t>Transformer DP</t>
  </si>
  <si>
    <t>Lightning arrestor Kit</t>
  </si>
  <si>
    <t>63 Kva</t>
  </si>
  <si>
    <t>500M</t>
  </si>
  <si>
    <t>HDPE Vessel</t>
  </si>
  <si>
    <t>500 ltr</t>
  </si>
  <si>
    <t>150ltr/500kg</t>
  </si>
  <si>
    <t xml:space="preserve">Juicer/ Crusher, 304 steel, 3 hp motor with speed gear </t>
  </si>
</sst>
</file>

<file path=xl/styles.xml><?xml version="1.0" encoding="utf-8"?>
<styleSheet xmlns="http://schemas.openxmlformats.org/spreadsheetml/2006/main">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2">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sz val="11"/>
      <color rgb="FF000000"/>
      <name val="Times New Roman"/>
      <family val="1"/>
    </font>
    <font>
      <b/>
      <sz val="11"/>
      <color rgb="FF000000"/>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theme="1"/>
      <name val="Garamond"/>
      <family val="1"/>
    </font>
    <font>
      <sz val="11"/>
      <color theme="1"/>
      <name val="Garamond"/>
      <family val="1"/>
    </font>
    <font>
      <b/>
      <sz val="10"/>
      <color theme="1"/>
      <name val="Times New Roman"/>
      <family val="1"/>
    </font>
    <font>
      <sz val="10"/>
      <color theme="1"/>
      <name val="Times New Roman"/>
      <family val="1"/>
    </font>
    <font>
      <b/>
      <sz val="10"/>
      <color rgb="FF333300"/>
      <name val="Times New Roman"/>
      <family val="1"/>
    </font>
    <font>
      <b/>
      <sz val="11"/>
      <color rgb="FF333300"/>
      <name val="Times New Roman"/>
      <family val="1"/>
    </font>
    <font>
      <sz val="11"/>
      <color rgb="FF333300"/>
      <name val="Times New Roman"/>
      <family val="1"/>
    </font>
    <font>
      <sz val="11"/>
      <color rgb="FF333300"/>
      <name val="Calibri"/>
      <family val="2"/>
      <scheme val="minor"/>
    </font>
    <font>
      <b/>
      <sz val="12"/>
      <color rgb="FF333300"/>
      <name val="Times New Roman"/>
      <family val="1"/>
    </font>
    <font>
      <b/>
      <sz val="11"/>
      <color rgb="FF333300"/>
      <name val="Calibri"/>
      <family val="2"/>
      <scheme val="minor"/>
    </font>
    <font>
      <sz val="11"/>
      <color rgb="FF000000"/>
      <name val="Calibri"/>
      <family val="2"/>
      <scheme val="minor"/>
    </font>
    <font>
      <b/>
      <sz val="11"/>
      <color rgb="FF000000"/>
      <name val="Calibri"/>
      <family val="2"/>
      <scheme val="minor"/>
    </font>
  </fonts>
  <fills count="11">
    <fill>
      <patternFill patternType="none"/>
    </fill>
    <fill>
      <patternFill patternType="gray125"/>
    </fill>
    <fill>
      <patternFill patternType="solid">
        <fgColor theme="2" tint="-0.749992370372631"/>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72" fontId="1" fillId="0" borderId="0" applyFont="0" applyFill="0" applyBorder="0" applyAlignment="0" applyProtection="0"/>
    <xf numFmtId="164" fontId="17" fillId="0" borderId="0" applyFont="0" applyFill="0" applyBorder="0" applyAlignment="0" applyProtection="0"/>
  </cellStyleXfs>
  <cellXfs count="45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0" fillId="0" borderId="0" xfId="0" applyNumberFormat="1"/>
    <xf numFmtId="169" fontId="0" fillId="0" borderId="1" xfId="2" applyNumberFormat="1" applyFont="1" applyBorder="1"/>
    <xf numFmtId="0" fontId="13" fillId="0" borderId="0" xfId="0" applyFont="1"/>
    <xf numFmtId="164" fontId="0" fillId="0" borderId="0" xfId="0" applyNumberFormat="1"/>
    <xf numFmtId="167" fontId="16" fillId="0" borderId="0" xfId="0" applyNumberFormat="1" applyFont="1"/>
    <xf numFmtId="38" fontId="13" fillId="0" borderId="0" xfId="0" applyNumberFormat="1" applyFont="1" applyAlignment="1">
      <alignment horizontal="left"/>
    </xf>
    <xf numFmtId="0" fontId="16" fillId="0" borderId="0" xfId="0" applyFont="1"/>
    <xf numFmtId="0" fontId="18" fillId="0" borderId="0" xfId="8" applyFont="1" applyFill="1" applyBorder="1" applyAlignment="1" applyProtection="1"/>
    <xf numFmtId="0" fontId="17" fillId="0" borderId="6" xfId="0" applyFont="1" applyBorder="1"/>
    <xf numFmtId="174" fontId="13" fillId="0" borderId="0" xfId="9" applyNumberFormat="1" applyFont="1" applyFill="1" applyBorder="1" applyAlignment="1">
      <alignment vertical="center"/>
    </xf>
    <xf numFmtId="167" fontId="16" fillId="0" borderId="0" xfId="3" applyNumberFormat="1" applyFont="1" applyFill="1" applyBorder="1"/>
    <xf numFmtId="0" fontId="13" fillId="0" borderId="6"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3"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6" fillId="0" borderId="0" xfId="0" applyFont="1" applyAlignment="1">
      <alignment vertical="center"/>
    </xf>
    <xf numFmtId="0" fontId="13" fillId="0" borderId="0" xfId="0" applyFont="1" applyAlignment="1">
      <alignment vertical="center"/>
    </xf>
    <xf numFmtId="4" fontId="16" fillId="0" borderId="0" xfId="0" applyNumberFormat="1" applyFont="1" applyAlignment="1">
      <alignment vertical="center"/>
    </xf>
    <xf numFmtId="0" fontId="20" fillId="2" borderId="1" xfId="0" applyFont="1" applyFill="1" applyBorder="1" applyAlignment="1">
      <alignment horizontal="center" wrapText="1"/>
    </xf>
    <xf numFmtId="169" fontId="0" fillId="0" borderId="10" xfId="2" applyNumberFormat="1" applyFont="1" applyBorder="1"/>
    <xf numFmtId="2" fontId="2" fillId="0" borderId="0" xfId="0" applyNumberFormat="1" applyFont="1"/>
    <xf numFmtId="167" fontId="13" fillId="0" borderId="0" xfId="0" applyNumberFormat="1" applyFont="1"/>
    <xf numFmtId="169" fontId="0" fillId="0" borderId="0" xfId="0" applyNumberFormat="1"/>
    <xf numFmtId="3" fontId="16"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169" fontId="4" fillId="0" borderId="1" xfId="2" applyNumberFormat="1" applyFont="1" applyFill="1" applyBorder="1" applyAlignment="1">
      <alignment wrapText="1"/>
    </xf>
    <xf numFmtId="0" fontId="4" fillId="0" borderId="1" xfId="0" applyFont="1" applyBorder="1"/>
    <xf numFmtId="164" fontId="4" fillId="0" borderId="1" xfId="10" applyFont="1" applyFill="1" applyBorder="1"/>
    <xf numFmtId="171" fontId="4" fillId="0" borderId="1" xfId="10" applyNumberFormat="1" applyFont="1" applyFill="1" applyBorder="1"/>
    <xf numFmtId="0" fontId="6" fillId="0" borderId="1" xfId="0" applyFont="1" applyBorder="1"/>
    <xf numFmtId="43" fontId="6" fillId="0" borderId="1" xfId="10" applyNumberFormat="1" applyFont="1" applyFill="1" applyBorder="1"/>
    <xf numFmtId="171" fontId="4" fillId="0" borderId="0" xfId="10" applyNumberFormat="1" applyFont="1" applyFill="1"/>
    <xf numFmtId="176" fontId="4" fillId="0" borderId="1" xfId="10" applyNumberFormat="1" applyFont="1" applyFill="1" applyBorder="1"/>
    <xf numFmtId="0" fontId="19" fillId="0" borderId="0" xfId="0" applyFont="1" applyAlignment="1">
      <alignment vertic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xf numFmtId="0" fontId="23" fillId="0" borderId="0" xfId="0" applyFont="1"/>
    <xf numFmtId="0" fontId="23" fillId="0" borderId="1" xfId="0" applyFont="1" applyBorder="1"/>
    <xf numFmtId="169" fontId="23" fillId="0" borderId="1" xfId="2" applyNumberFormat="1" applyFont="1" applyBorder="1"/>
    <xf numFmtId="0" fontId="24" fillId="0" borderId="1" xfId="0" applyFont="1" applyBorder="1"/>
    <xf numFmtId="169" fontId="24" fillId="0" borderId="1" xfId="0" applyNumberFormat="1" applyFont="1" applyBorder="1"/>
    <xf numFmtId="169" fontId="24" fillId="0" borderId="1" xfId="2" applyNumberFormat="1" applyFont="1" applyBorder="1" applyAlignment="1"/>
    <xf numFmtId="2" fontId="24" fillId="0" borderId="1" xfId="0" applyNumberFormat="1" applyFont="1" applyBorder="1"/>
    <xf numFmtId="2" fontId="23" fillId="0" borderId="0" xfId="0" applyNumberFormat="1" applyFont="1"/>
    <xf numFmtId="0" fontId="4" fillId="0" borderId="1" xfId="0" applyFont="1" applyBorder="1" applyAlignment="1">
      <alignment horizontal="center"/>
    </xf>
    <xf numFmtId="0" fontId="25"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3" fillId="0" borderId="1" xfId="0" applyFont="1" applyBorder="1" applyAlignment="1">
      <alignment wrapText="1"/>
    </xf>
    <xf numFmtId="2" fontId="23" fillId="0" borderId="1" xfId="0" applyNumberFormat="1" applyFont="1" applyBorder="1"/>
    <xf numFmtId="43" fontId="23" fillId="0" borderId="0" xfId="0" applyNumberFormat="1" applyFont="1"/>
    <xf numFmtId="169" fontId="23" fillId="0" borderId="0" xfId="2" applyNumberFormat="1" applyFont="1"/>
    <xf numFmtId="9" fontId="23" fillId="0" borderId="1" xfId="1" applyFont="1" applyBorder="1"/>
    <xf numFmtId="169" fontId="24" fillId="0" borderId="1" xfId="2" applyNumberFormat="1" applyFont="1" applyBorder="1"/>
    <xf numFmtId="0" fontId="24" fillId="0" borderId="0" xfId="0" applyFont="1"/>
    <xf numFmtId="10" fontId="24" fillId="0" borderId="0" xfId="1" applyNumberFormat="1" applyFont="1"/>
    <xf numFmtId="0" fontId="20" fillId="2" borderId="1" xfId="0" applyFont="1" applyFill="1" applyBorder="1" applyAlignment="1">
      <alignment horizontal="center"/>
    </xf>
    <xf numFmtId="0" fontId="25" fillId="0" borderId="3" xfId="0" applyFont="1" applyBorder="1" applyAlignment="1">
      <alignment vertical="center"/>
    </xf>
    <xf numFmtId="37" fontId="26" fillId="0" borderId="1" xfId="3" applyNumberFormat="1" applyFont="1" applyFill="1" applyBorder="1" applyAlignment="1">
      <alignment vertical="center"/>
    </xf>
    <xf numFmtId="3" fontId="27" fillId="0" borderId="1" xfId="9" applyNumberFormat="1" applyFont="1" applyFill="1" applyBorder="1" applyAlignment="1">
      <alignment horizontal="right" vertical="center"/>
    </xf>
    <xf numFmtId="0" fontId="28" fillId="0" borderId="3" xfId="0" applyFont="1" applyBorder="1" applyAlignment="1">
      <alignment vertical="center"/>
    </xf>
    <xf numFmtId="4" fontId="25" fillId="0" borderId="1" xfId="3" applyNumberFormat="1" applyFont="1" applyFill="1" applyBorder="1" applyAlignment="1">
      <alignment vertical="center"/>
    </xf>
    <xf numFmtId="0" fontId="26" fillId="0" borderId="3" xfId="0" applyFont="1" applyBorder="1" applyAlignment="1">
      <alignment horizontal="left" vertical="center"/>
    </xf>
    <xf numFmtId="4" fontId="29" fillId="0" borderId="1" xfId="3" applyNumberFormat="1" applyFont="1" applyFill="1" applyBorder="1" applyAlignment="1">
      <alignment vertical="center"/>
    </xf>
    <xf numFmtId="0" fontId="26" fillId="0" borderId="3" xfId="0" applyFont="1" applyBorder="1" applyAlignment="1">
      <alignment horizontal="left" vertical="center" indent="1"/>
    </xf>
    <xf numFmtId="3" fontId="26" fillId="0" borderId="1" xfId="3" applyNumberFormat="1" applyFont="1" applyFill="1" applyBorder="1" applyAlignment="1">
      <alignment vertical="center"/>
    </xf>
    <xf numFmtId="0" fontId="25" fillId="0" borderId="3" xfId="0" applyFont="1" applyBorder="1" applyAlignment="1">
      <alignment horizontal="left" vertical="center" indent="1"/>
    </xf>
    <xf numFmtId="3" fontId="25" fillId="0" borderId="1" xfId="3" applyNumberFormat="1" applyFont="1" applyFill="1" applyBorder="1" applyAlignment="1">
      <alignment vertical="center"/>
    </xf>
    <xf numFmtId="0" fontId="25" fillId="0" borderId="3" xfId="0" applyFont="1" applyBorder="1" applyAlignment="1">
      <alignment horizontal="left" vertical="center"/>
    </xf>
    <xf numFmtId="0" fontId="26" fillId="0" borderId="3" xfId="0" applyFont="1" applyBorder="1" applyAlignment="1">
      <alignment vertical="center"/>
    </xf>
    <xf numFmtId="3" fontId="26" fillId="0" borderId="1" xfId="9" applyNumberFormat="1" applyFont="1" applyFill="1" applyBorder="1" applyAlignment="1">
      <alignment vertical="center"/>
    </xf>
    <xf numFmtId="3" fontId="25" fillId="0" borderId="1" xfId="9" applyNumberFormat="1" applyFont="1" applyFill="1" applyBorder="1" applyAlignment="1">
      <alignment vertical="center"/>
    </xf>
    <xf numFmtId="3" fontId="29" fillId="0" borderId="1" xfId="3" applyNumberFormat="1" applyFont="1" applyFill="1" applyBorder="1" applyAlignment="1">
      <alignment vertical="center"/>
    </xf>
    <xf numFmtId="3" fontId="27" fillId="0" borderId="1" xfId="3" applyNumberFormat="1" applyFont="1" applyFill="1" applyBorder="1" applyAlignment="1">
      <alignment vertical="center"/>
    </xf>
    <xf numFmtId="3" fontId="25" fillId="0" borderId="1" xfId="0" applyNumberFormat="1" applyFont="1" applyBorder="1" applyAlignment="1">
      <alignment vertical="center"/>
    </xf>
    <xf numFmtId="0" fontId="6" fillId="0" borderId="3" xfId="0" applyFont="1" applyBorder="1" applyAlignment="1">
      <alignment vertical="center"/>
    </xf>
    <xf numFmtId="3" fontId="6" fillId="0" borderId="1" xfId="3" applyNumberFormat="1" applyFont="1" applyFill="1" applyBorder="1" applyAlignment="1">
      <alignment vertical="center"/>
    </xf>
    <xf numFmtId="4" fontId="25" fillId="0" borderId="1" xfId="0" applyNumberFormat="1" applyFont="1" applyBorder="1" applyAlignment="1">
      <alignment vertical="center"/>
    </xf>
    <xf numFmtId="0" fontId="30" fillId="0" borderId="3" xfId="0" applyFont="1" applyBorder="1" applyAlignment="1">
      <alignment vertical="center"/>
    </xf>
    <xf numFmtId="4" fontId="31" fillId="0" borderId="1" xfId="0" applyNumberFormat="1" applyFont="1" applyBorder="1" applyAlignment="1">
      <alignment vertical="center"/>
    </xf>
    <xf numFmtId="0" fontId="32" fillId="0" borderId="3" xfId="0" applyFont="1" applyBorder="1" applyAlignment="1">
      <alignment vertical="center"/>
    </xf>
    <xf numFmtId="4" fontId="32" fillId="0" borderId="1" xfId="9" applyNumberFormat="1" applyFont="1" applyFill="1" applyBorder="1" applyAlignment="1">
      <alignment vertical="center"/>
    </xf>
    <xf numFmtId="0" fontId="32" fillId="0" borderId="4" xfId="0" applyFont="1" applyBorder="1" applyAlignment="1">
      <alignment vertical="center"/>
    </xf>
    <xf numFmtId="4" fontId="32" fillId="0" borderId="5" xfId="0" applyNumberFormat="1" applyFont="1" applyBorder="1" applyAlignment="1">
      <alignment vertical="center"/>
    </xf>
    <xf numFmtId="0" fontId="20" fillId="2" borderId="1" xfId="0" applyFont="1" applyFill="1" applyBorder="1"/>
    <xf numFmtId="0" fontId="14" fillId="0" borderId="0" xfId="6" applyFont="1" applyAlignment="1">
      <alignment horizontal="center"/>
    </xf>
    <xf numFmtId="0" fontId="14" fillId="0" borderId="0" xfId="6" applyFont="1"/>
    <xf numFmtId="173" fontId="25" fillId="0" borderId="1" xfId="9" applyNumberFormat="1" applyFont="1" applyFill="1" applyBorder="1" applyAlignment="1">
      <alignment vertical="center"/>
    </xf>
    <xf numFmtId="173" fontId="26" fillId="0" borderId="1" xfId="9" applyNumberFormat="1" applyFont="1" applyFill="1" applyBorder="1" applyAlignment="1">
      <alignment vertical="center"/>
    </xf>
    <xf numFmtId="0" fontId="26" fillId="0" borderId="1" xfId="0" applyFont="1" applyBorder="1" applyAlignment="1">
      <alignment vertical="center"/>
    </xf>
    <xf numFmtId="0" fontId="26" fillId="0" borderId="1" xfId="0" applyFont="1" applyBorder="1" applyAlignment="1">
      <alignment horizontal="center" vertical="center"/>
    </xf>
    <xf numFmtId="167" fontId="25" fillId="0" borderId="1" xfId="3" applyNumberFormat="1" applyFont="1" applyFill="1" applyBorder="1"/>
    <xf numFmtId="0" fontId="26" fillId="0" borderId="1" xfId="0" applyFont="1" applyBorder="1"/>
    <xf numFmtId="0" fontId="25" fillId="0" borderId="1" xfId="0" applyFont="1" applyBorder="1"/>
    <xf numFmtId="167" fontId="26" fillId="0" borderId="1" xfId="0" applyNumberFormat="1" applyFont="1" applyBorder="1"/>
    <xf numFmtId="0" fontId="6" fillId="2" borderId="1" xfId="0" applyFont="1" applyFill="1" applyBorder="1"/>
    <xf numFmtId="0" fontId="34" fillId="0" borderId="1" xfId="0" applyFont="1" applyBorder="1"/>
    <xf numFmtId="0" fontId="35" fillId="0" borderId="1" xfId="0" applyFont="1" applyBorder="1" applyAlignment="1">
      <alignment horizontal="center"/>
    </xf>
    <xf numFmtId="0" fontId="23" fillId="0" borderId="1" xfId="0" applyFont="1" applyBorder="1" applyAlignment="1">
      <alignment horizontal="left"/>
    </xf>
    <xf numFmtId="0" fontId="6" fillId="0" borderId="1" xfId="0" applyFont="1" applyBorder="1" applyAlignment="1">
      <alignment horizontal="left"/>
    </xf>
    <xf numFmtId="167" fontId="25" fillId="0" borderId="1" xfId="0" applyNumberFormat="1" applyFont="1" applyBorder="1"/>
    <xf numFmtId="0" fontId="20" fillId="2" borderId="1" xfId="8" applyFont="1" applyFill="1" applyBorder="1" applyAlignment="1" applyProtection="1"/>
    <xf numFmtId="0" fontId="6" fillId="0" borderId="1" xfId="0" applyFont="1" applyBorder="1" applyAlignment="1">
      <alignment horizontal="center"/>
    </xf>
    <xf numFmtId="0" fontId="23" fillId="0" borderId="0" xfId="0" applyFont="1" applyAlignment="1">
      <alignment horizontal="left"/>
    </xf>
    <xf numFmtId="167" fontId="25" fillId="0" borderId="0" xfId="0" applyNumberFormat="1" applyFont="1"/>
    <xf numFmtId="0" fontId="6" fillId="0" borderId="0" xfId="0" applyFont="1" applyAlignment="1">
      <alignment horizontal="center"/>
    </xf>
    <xf numFmtId="0" fontId="6" fillId="0" borderId="0" xfId="0" applyFont="1"/>
    <xf numFmtId="0" fontId="6" fillId="0" borderId="0" xfId="0" applyFont="1" applyAlignment="1">
      <alignment wrapText="1"/>
    </xf>
    <xf numFmtId="10" fontId="23" fillId="0" borderId="0" xfId="0" applyNumberFormat="1" applyFont="1"/>
    <xf numFmtId="0" fontId="23" fillId="0" borderId="0" xfId="0" applyFont="1" applyAlignment="1">
      <alignment wrapText="1"/>
    </xf>
    <xf numFmtId="9" fontId="23" fillId="0" borderId="0" xfId="0" applyNumberFormat="1" applyFont="1"/>
    <xf numFmtId="10" fontId="4" fillId="0" borderId="0" xfId="1" applyNumberFormat="1" applyFont="1" applyBorder="1"/>
    <xf numFmtId="9" fontId="23" fillId="0" borderId="0" xfId="1" applyFont="1"/>
    <xf numFmtId="166" fontId="23" fillId="0" borderId="0" xfId="0" applyNumberFormat="1" applyFont="1"/>
    <xf numFmtId="164" fontId="23" fillId="0" borderId="0" xfId="0" applyNumberFormat="1" applyFont="1"/>
    <xf numFmtId="1" fontId="23" fillId="0" borderId="0" xfId="0" applyNumberFormat="1" applyFont="1"/>
    <xf numFmtId="9" fontId="23" fillId="0" borderId="1" xfId="0" applyNumberFormat="1" applyFont="1" applyBorder="1"/>
    <xf numFmtId="164" fontId="23" fillId="0" borderId="1" xfId="0" applyNumberFormat="1" applyFont="1" applyBorder="1"/>
    <xf numFmtId="0" fontId="24" fillId="0" borderId="0" xfId="0" applyFont="1" applyAlignment="1">
      <alignment horizontal="center"/>
    </xf>
    <xf numFmtId="9" fontId="24" fillId="0" borderId="0" xfId="0" applyNumberFormat="1" applyFont="1" applyAlignment="1">
      <alignment horizontal="center"/>
    </xf>
    <xf numFmtId="10" fontId="24" fillId="0" borderId="0" xfId="0" applyNumberFormat="1" applyFont="1" applyAlignment="1">
      <alignment horizontal="center"/>
    </xf>
    <xf numFmtId="169" fontId="23" fillId="0" borderId="1" xfId="2" applyNumberFormat="1" applyFont="1" applyFill="1" applyBorder="1"/>
    <xf numFmtId="0" fontId="24" fillId="0" borderId="1" xfId="0" applyFont="1" applyBorder="1" applyAlignment="1">
      <alignment wrapText="1"/>
    </xf>
    <xf numFmtId="167" fontId="23" fillId="0" borderId="1" xfId="0" applyNumberFormat="1" applyFont="1" applyBorder="1"/>
    <xf numFmtId="167" fontId="24" fillId="0" borderId="1" xfId="3" applyNumberFormat="1" applyFont="1" applyBorder="1"/>
    <xf numFmtId="167" fontId="24" fillId="0" borderId="1" xfId="0" applyNumberFormat="1" applyFont="1" applyBorder="1"/>
    <xf numFmtId="169" fontId="23" fillId="0" borderId="1" xfId="0" applyNumberFormat="1" applyFont="1" applyBorder="1"/>
    <xf numFmtId="167" fontId="23" fillId="0" borderId="1" xfId="3" applyNumberFormat="1" applyFont="1" applyFill="1" applyBorder="1"/>
    <xf numFmtId="167" fontId="23" fillId="0" borderId="0" xfId="0" applyNumberFormat="1" applyFont="1"/>
    <xf numFmtId="169" fontId="23" fillId="0" borderId="11" xfId="2" applyNumberFormat="1" applyFont="1" applyBorder="1"/>
    <xf numFmtId="169" fontId="24" fillId="0" borderId="1" xfId="2" applyNumberFormat="1" applyFont="1" applyBorder="1" applyAlignment="1">
      <alignment wrapText="1"/>
    </xf>
    <xf numFmtId="0" fontId="22" fillId="0" borderId="0" xfId="0" applyFont="1"/>
    <xf numFmtId="165" fontId="23"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6" fillId="0" borderId="1" xfId="0" applyFont="1" applyBorder="1" applyAlignment="1">
      <alignment horizontal="right"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169" fontId="25" fillId="0" borderId="1" xfId="2"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169" fontId="36" fillId="0" borderId="1" xfId="2" applyNumberFormat="1" applyFont="1" applyFill="1" applyBorder="1" applyAlignment="1">
      <alignment horizontal="right" vertical="center" wrapText="1"/>
    </xf>
    <xf numFmtId="0" fontId="36" fillId="0" borderId="1" xfId="0" applyFont="1" applyBorder="1" applyAlignment="1">
      <alignment vertical="center" wrapText="1"/>
    </xf>
    <xf numFmtId="169" fontId="37" fillId="0" borderId="1" xfId="2" applyNumberFormat="1" applyFont="1" applyFill="1" applyBorder="1" applyAlignment="1">
      <alignment horizontal="right" vertical="center" wrapText="1"/>
    </xf>
    <xf numFmtId="167" fontId="24" fillId="0" borderId="1" xfId="3" applyNumberFormat="1" applyFont="1" applyBorder="1" applyAlignment="1">
      <alignment horizontal="right" vertical="center" wrapText="1"/>
    </xf>
    <xf numFmtId="0" fontId="23" fillId="5" borderId="1" xfId="0" applyFont="1" applyFill="1" applyBorder="1"/>
    <xf numFmtId="0" fontId="24" fillId="5" borderId="1" xfId="0" applyFont="1" applyFill="1" applyBorder="1"/>
    <xf numFmtId="0" fontId="25" fillId="5" borderId="0" xfId="0" applyFont="1" applyFill="1"/>
    <xf numFmtId="0" fontId="26" fillId="5" borderId="1" xfId="0" applyFont="1" applyFill="1" applyBorder="1"/>
    <xf numFmtId="0" fontId="25" fillId="5" borderId="1" xfId="0" applyFont="1" applyFill="1" applyBorder="1"/>
    <xf numFmtId="2" fontId="25" fillId="5" borderId="1" xfId="0" applyNumberFormat="1" applyFont="1" applyFill="1" applyBorder="1"/>
    <xf numFmtId="177" fontId="25" fillId="5" borderId="1" xfId="0" applyNumberFormat="1" applyFont="1" applyFill="1" applyBorder="1"/>
    <xf numFmtId="2" fontId="26" fillId="5" borderId="1" xfId="0" applyNumberFormat="1" applyFont="1" applyFill="1" applyBorder="1"/>
    <xf numFmtId="169" fontId="23" fillId="5" borderId="1" xfId="2" applyNumberFormat="1" applyFont="1" applyFill="1" applyBorder="1"/>
    <xf numFmtId="167" fontId="23" fillId="5" borderId="1" xfId="3" applyNumberFormat="1" applyFont="1" applyFill="1" applyBorder="1"/>
    <xf numFmtId="0" fontId="23" fillId="5" borderId="1" xfId="0" applyFont="1" applyFill="1" applyBorder="1" applyAlignment="1">
      <alignment wrapText="1"/>
    </xf>
    <xf numFmtId="169" fontId="23" fillId="5" borderId="1" xfId="2" applyNumberFormat="1" applyFont="1" applyFill="1" applyBorder="1" applyAlignment="1">
      <alignment wrapText="1"/>
    </xf>
    <xf numFmtId="169" fontId="24" fillId="5" borderId="1" xfId="2" applyNumberFormat="1" applyFont="1" applyFill="1" applyBorder="1"/>
    <xf numFmtId="166" fontId="23" fillId="5" borderId="0" xfId="0" applyNumberFormat="1" applyFont="1" applyFill="1"/>
    <xf numFmtId="174" fontId="23" fillId="0" borderId="0" xfId="0" applyNumberFormat="1" applyFont="1"/>
    <xf numFmtId="169" fontId="0" fillId="0" borderId="1" xfId="0" applyNumberFormat="1" applyBorder="1"/>
    <xf numFmtId="0" fontId="24"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4" fillId="0" borderId="0" xfId="2" applyNumberFormat="1" applyFont="1" applyBorder="1"/>
    <xf numFmtId="0" fontId="36" fillId="0" borderId="1" xfId="0" applyFont="1" applyBorder="1" applyAlignment="1">
      <alignment horizontal="center" vertical="center" wrapText="1"/>
    </xf>
    <xf numFmtId="9" fontId="2" fillId="6" borderId="0" xfId="0" applyNumberFormat="1" applyFont="1" applyFill="1"/>
    <xf numFmtId="9" fontId="23" fillId="6" borderId="1" xfId="0" applyNumberFormat="1" applyFont="1" applyFill="1" applyBorder="1"/>
    <xf numFmtId="0" fontId="0" fillId="5" borderId="1" xfId="0" applyFill="1" applyBorder="1"/>
    <xf numFmtId="0" fontId="0" fillId="6" borderId="1" xfId="0" applyFill="1" applyBorder="1"/>
    <xf numFmtId="0" fontId="39" fillId="0" borderId="0" xfId="0" applyFont="1"/>
    <xf numFmtId="0" fontId="0" fillId="0" borderId="0" xfId="0" applyAlignment="1">
      <alignment wrapText="1"/>
    </xf>
    <xf numFmtId="0" fontId="48" fillId="4" borderId="1" xfId="0" applyFont="1" applyFill="1" applyBorder="1"/>
    <xf numFmtId="0" fontId="48" fillId="4" borderId="1" xfId="0" applyFont="1" applyFill="1" applyBorder="1" applyAlignment="1">
      <alignment wrapText="1"/>
    </xf>
    <xf numFmtId="0" fontId="0" fillId="0" borderId="1" xfId="0" applyBorder="1" applyAlignment="1">
      <alignment horizontal="center"/>
    </xf>
    <xf numFmtId="0" fontId="48" fillId="4" borderId="2" xfId="0" applyFont="1" applyFill="1" applyBorder="1" applyAlignment="1">
      <alignment wrapText="1"/>
    </xf>
    <xf numFmtId="167" fontId="23" fillId="0" borderId="1" xfId="1" applyNumberFormat="1" applyFont="1" applyBorder="1"/>
    <xf numFmtId="9" fontId="0" fillId="5" borderId="1" xfId="1" applyFont="1" applyFill="1" applyBorder="1"/>
    <xf numFmtId="9" fontId="0" fillId="6" borderId="1" xfId="0" applyNumberFormat="1" applyFill="1" applyBorder="1"/>
    <xf numFmtId="0" fontId="2" fillId="0" borderId="6" xfId="0" applyFont="1" applyBorder="1" applyAlignment="1">
      <alignment wrapText="1"/>
    </xf>
    <xf numFmtId="170" fontId="0" fillId="0" borderId="0" xfId="0" applyNumberFormat="1"/>
    <xf numFmtId="169" fontId="23" fillId="0" borderId="0" xfId="2" applyNumberFormat="1" applyFont="1" applyBorder="1"/>
    <xf numFmtId="0" fontId="48" fillId="4" borderId="1" xfId="0" applyFont="1" applyFill="1" applyBorder="1" applyAlignment="1">
      <alignment horizontal="center"/>
    </xf>
    <xf numFmtId="0" fontId="48" fillId="0" borderId="0" xfId="0" applyFont="1" applyAlignment="1">
      <alignment horizontal="center"/>
    </xf>
    <xf numFmtId="1" fontId="0" fillId="0" borderId="0" xfId="0" applyNumberFormat="1"/>
    <xf numFmtId="169" fontId="2" fillId="0" borderId="0" xfId="2" applyNumberFormat="1" applyFont="1" applyFill="1" applyBorder="1"/>
    <xf numFmtId="1" fontId="23" fillId="0" borderId="1" xfId="0" applyNumberFormat="1" applyFont="1" applyBorder="1"/>
    <xf numFmtId="0" fontId="0" fillId="0" borderId="9" xfId="0" applyBorder="1" applyAlignment="1">
      <alignment horizontal="center" vertical="center"/>
    </xf>
    <xf numFmtId="9" fontId="48" fillId="6" borderId="1" xfId="0" applyNumberFormat="1" applyFont="1" applyFill="1" applyBorder="1"/>
    <xf numFmtId="9" fontId="48" fillId="6" borderId="1" xfId="0" applyNumberFormat="1" applyFont="1" applyFill="1" applyBorder="1" applyAlignment="1">
      <alignment horizontal="center"/>
    </xf>
    <xf numFmtId="9" fontId="0" fillId="0" borderId="1" xfId="0" applyNumberFormat="1" applyBorder="1"/>
    <xf numFmtId="9" fontId="0" fillId="5" borderId="1" xfId="0" applyNumberFormat="1" applyFill="1" applyBorder="1"/>
    <xf numFmtId="0" fontId="0" fillId="0" borderId="1" xfId="1" applyNumberFormat="1" applyFont="1" applyFill="1" applyBorder="1"/>
    <xf numFmtId="0" fontId="0" fillId="0" borderId="15"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 fillId="0" borderId="9" xfId="0" applyFont="1" applyBorder="1" applyAlignment="1">
      <alignment horizontal="center" vertical="center"/>
    </xf>
    <xf numFmtId="0" fontId="2" fillId="5" borderId="1" xfId="0" applyFont="1" applyFill="1" applyBorder="1"/>
    <xf numFmtId="0" fontId="24"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3" fillId="0" borderId="1" xfId="0" applyNumberFormat="1" applyFont="1" applyBorder="1"/>
    <xf numFmtId="0" fontId="46" fillId="0" borderId="0" xfId="0" applyFont="1"/>
    <xf numFmtId="0" fontId="26" fillId="4" borderId="1" xfId="0" applyFont="1" applyFill="1" applyBorder="1"/>
    <xf numFmtId="9" fontId="52" fillId="6" borderId="1" xfId="0" applyNumberFormat="1" applyFont="1" applyFill="1" applyBorder="1"/>
    <xf numFmtId="170" fontId="52" fillId="6" borderId="1" xfId="0" applyNumberFormat="1" applyFont="1" applyFill="1" applyBorder="1"/>
    <xf numFmtId="0" fontId="51" fillId="0" borderId="0" xfId="0" applyFont="1"/>
    <xf numFmtId="0" fontId="38" fillId="0" borderId="1" xfId="0" applyFont="1" applyBorder="1" applyAlignment="1">
      <alignment vertical="center" wrapText="1"/>
    </xf>
    <xf numFmtId="0" fontId="38" fillId="0" borderId="1" xfId="0" applyFont="1" applyBorder="1" applyAlignment="1">
      <alignment horizontal="center" vertical="center" wrapText="1"/>
    </xf>
    <xf numFmtId="10" fontId="38" fillId="0" borderId="1" xfId="0" applyNumberFormat="1" applyFont="1" applyBorder="1" applyAlignment="1">
      <alignment horizontal="center" vertical="center" wrapText="1"/>
    </xf>
    <xf numFmtId="10" fontId="38" fillId="0" borderId="1" xfId="1"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8" fillId="0" borderId="1" xfId="0" applyFont="1" applyBorder="1" applyAlignment="1">
      <alignment horizontal="left" vertical="center" wrapText="1"/>
    </xf>
    <xf numFmtId="166" fontId="25"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5" borderId="11" xfId="0" applyFill="1" applyBorder="1" applyAlignment="1">
      <alignment vertical="center" wrapText="1"/>
    </xf>
    <xf numFmtId="0" fontId="0" fillId="6" borderId="11" xfId="0" applyFill="1" applyBorder="1" applyAlignment="1">
      <alignment vertical="center" wrapText="1"/>
    </xf>
    <xf numFmtId="0" fontId="54" fillId="4" borderId="6" xfId="0" applyFont="1" applyFill="1" applyBorder="1" applyAlignment="1">
      <alignment horizontal="center"/>
    </xf>
    <xf numFmtId="0" fontId="2" fillId="10" borderId="1" xfId="0" applyFont="1" applyFill="1" applyBorder="1" applyAlignment="1">
      <alignment vertical="center" wrapText="1"/>
    </xf>
    <xf numFmtId="0" fontId="58" fillId="0" borderId="1" xfId="0" applyFont="1" applyBorder="1" applyAlignment="1">
      <alignment vertical="center" wrapText="1"/>
    </xf>
    <xf numFmtId="0" fontId="2" fillId="10" borderId="2" xfId="0" applyFont="1" applyFill="1" applyBorder="1" applyAlignment="1">
      <alignment vertical="center" wrapText="1"/>
    </xf>
    <xf numFmtId="0" fontId="0" fillId="0" borderId="1" xfId="0" applyBorder="1" applyAlignment="1">
      <alignment horizontal="center" vertical="center" wrapText="1"/>
    </xf>
    <xf numFmtId="167" fontId="36" fillId="5" borderId="2" xfId="3" applyNumberFormat="1" applyFont="1" applyFill="1" applyBorder="1" applyAlignment="1">
      <alignment horizontal="right" vertical="center" wrapText="1"/>
    </xf>
    <xf numFmtId="0" fontId="0" fillId="0" borderId="10" xfId="0" applyBorder="1"/>
    <xf numFmtId="0" fontId="0" fillId="0" borderId="16" xfId="0" applyBorder="1"/>
    <xf numFmtId="0" fontId="0" fillId="0" borderId="11" xfId="0" applyBorder="1"/>
    <xf numFmtId="171" fontId="23" fillId="0" borderId="1" xfId="0" applyNumberFormat="1" applyFont="1" applyBorder="1"/>
    <xf numFmtId="171" fontId="23" fillId="0" borderId="0" xfId="0" applyNumberFormat="1" applyFont="1"/>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3" fillId="0" borderId="1" xfId="0" applyFont="1" applyFill="1" applyBorder="1" applyAlignment="1">
      <alignment vertical="center" wrapText="1"/>
    </xf>
    <xf numFmtId="169" fontId="25" fillId="0" borderId="1" xfId="2" applyNumberFormat="1" applyFont="1" applyFill="1" applyBorder="1" applyAlignment="1">
      <alignment horizontal="left" vertical="center" wrapText="1"/>
    </xf>
    <xf numFmtId="169" fontId="25" fillId="0" borderId="1" xfId="2" applyNumberFormat="1" applyFont="1" applyFill="1" applyBorder="1" applyAlignment="1">
      <alignment vertical="center" wrapText="1"/>
    </xf>
    <xf numFmtId="169" fontId="25" fillId="0" borderId="1" xfId="2" applyNumberFormat="1" applyFont="1" applyFill="1" applyBorder="1" applyAlignment="1">
      <alignment horizontal="righ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3" fillId="0" borderId="1" xfId="0" applyFont="1" applyFill="1" applyBorder="1" applyAlignment="1">
      <alignment horizontal="center" vertical="center" wrapText="1"/>
    </xf>
    <xf numFmtId="167" fontId="23" fillId="0" borderId="1" xfId="3" applyNumberFormat="1" applyFont="1" applyFill="1" applyBorder="1" applyAlignment="1">
      <alignment horizontal="center" vertical="center" wrapText="1"/>
    </xf>
    <xf numFmtId="167" fontId="23" fillId="0" borderId="1" xfId="3" applyNumberFormat="1" applyFont="1" applyFill="1" applyBorder="1" applyAlignment="1">
      <alignment horizontal="right" vertical="center" wrapText="1"/>
    </xf>
    <xf numFmtId="167" fontId="24" fillId="0" borderId="1" xfId="3" applyNumberFormat="1" applyFont="1" applyFill="1" applyBorder="1" applyAlignment="1">
      <alignment horizontal="right" vertical="center" wrapText="1"/>
    </xf>
    <xf numFmtId="0" fontId="60" fillId="0" borderId="1" xfId="0" applyFont="1" applyFill="1" applyBorder="1" applyAlignment="1">
      <alignment vertical="center" wrapText="1"/>
    </xf>
    <xf numFmtId="0" fontId="60"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vertical="center" wrapText="1"/>
    </xf>
    <xf numFmtId="167" fontId="61" fillId="0" borderId="1" xfId="3" applyNumberFormat="1" applyFont="1" applyFill="1" applyBorder="1" applyAlignment="1">
      <alignment horizontal="center" vertical="center" wrapText="1"/>
    </xf>
    <xf numFmtId="167" fontId="61" fillId="0" borderId="1" xfId="3" applyNumberFormat="1" applyFont="1" applyFill="1" applyBorder="1" applyAlignment="1">
      <alignment horizontal="right" vertical="center" wrapText="1"/>
    </xf>
    <xf numFmtId="167" fontId="60" fillId="0" borderId="1" xfId="3" applyNumberFormat="1" applyFont="1" applyFill="1" applyBorder="1" applyAlignment="1">
      <alignment horizontal="right" vertical="center" wrapText="1"/>
    </xf>
    <xf numFmtId="0" fontId="23" fillId="0" borderId="1" xfId="0" applyFont="1" applyFill="1" applyBorder="1" applyAlignment="1">
      <alignment horizontal="right" vertical="center" wrapText="1"/>
    </xf>
    <xf numFmtId="0" fontId="23" fillId="0" borderId="1" xfId="0" applyFont="1" applyFill="1" applyBorder="1"/>
    <xf numFmtId="0" fontId="23" fillId="0" borderId="1" xfId="0" applyFont="1" applyFill="1" applyBorder="1" applyAlignment="1">
      <alignment horizontal="left" vertical="center" wrapText="1"/>
    </xf>
    <xf numFmtId="169" fontId="24" fillId="0" borderId="1" xfId="2" applyNumberFormat="1" applyFont="1" applyFill="1" applyBorder="1" applyAlignment="1">
      <alignment horizontal="right" vertical="center" wrapText="1"/>
    </xf>
    <xf numFmtId="0" fontId="24" fillId="0" borderId="1" xfId="0" applyFont="1" applyFill="1" applyBorder="1"/>
    <xf numFmtId="0" fontId="62" fillId="0" borderId="1" xfId="0" applyFont="1" applyFill="1" applyBorder="1" applyAlignment="1">
      <alignment horizontal="center" vertical="center" wrapText="1"/>
    </xf>
    <xf numFmtId="0" fontId="62" fillId="0" borderId="1" xfId="0" applyFont="1" applyFill="1" applyBorder="1" applyAlignment="1">
      <alignment vertical="center" wrapText="1"/>
    </xf>
    <xf numFmtId="0" fontId="63" fillId="0" borderId="1" xfId="0" applyFont="1" applyFill="1" applyBorder="1" applyAlignment="1">
      <alignment horizontal="right" vertical="center" wrapText="1"/>
    </xf>
    <xf numFmtId="0" fontId="63" fillId="0" borderId="1" xfId="0" applyFont="1" applyFill="1" applyBorder="1" applyAlignment="1">
      <alignment vertical="center" wrapText="1"/>
    </xf>
    <xf numFmtId="9" fontId="63" fillId="0" borderId="1" xfId="3" applyNumberFormat="1" applyFont="1" applyFill="1" applyBorder="1" applyAlignment="1">
      <alignment horizontal="right" vertical="center" wrapText="1"/>
    </xf>
    <xf numFmtId="167" fontId="63" fillId="0" borderId="1" xfId="3" applyNumberFormat="1" applyFont="1" applyFill="1" applyBorder="1" applyAlignment="1">
      <alignment horizontal="right" vertical="center" wrapText="1"/>
    </xf>
    <xf numFmtId="9" fontId="63" fillId="0" borderId="1" xfId="1" applyFont="1" applyFill="1" applyBorder="1" applyAlignment="1">
      <alignment horizontal="right" vertical="center" wrapText="1"/>
    </xf>
    <xf numFmtId="167" fontId="62" fillId="0" borderId="1" xfId="3" applyNumberFormat="1" applyFont="1" applyFill="1" applyBorder="1" applyAlignment="1">
      <alignment horizontal="right" vertical="center" wrapText="1"/>
    </xf>
    <xf numFmtId="0" fontId="24" fillId="0" borderId="1" xfId="0" applyFont="1" applyFill="1" applyBorder="1" applyAlignment="1">
      <alignment horizontal="center"/>
    </xf>
    <xf numFmtId="0" fontId="6" fillId="0" borderId="0" xfId="0" applyFont="1" applyFill="1" applyAlignment="1">
      <alignment horizontal="left" wrapText="1"/>
    </xf>
    <xf numFmtId="9" fontId="13" fillId="0" borderId="0" xfId="1" applyFont="1" applyFill="1" applyBorder="1"/>
    <xf numFmtId="173" fontId="23" fillId="0" borderId="1" xfId="9" applyNumberFormat="1" applyFont="1" applyFill="1" applyBorder="1" applyAlignment="1">
      <alignment vertical="center"/>
    </xf>
    <xf numFmtId="173" fontId="24" fillId="0" borderId="1" xfId="9" applyNumberFormat="1" applyFont="1" applyFill="1" applyBorder="1" applyAlignment="1">
      <alignment vertical="center"/>
    </xf>
    <xf numFmtId="0" fontId="24" fillId="0" borderId="1" xfId="0" applyFont="1" applyFill="1" applyBorder="1" applyAlignment="1">
      <alignment vertical="center"/>
    </xf>
    <xf numFmtId="0" fontId="24" fillId="0" borderId="1" xfId="0" applyFont="1" applyFill="1" applyBorder="1" applyAlignment="1">
      <alignment horizontal="center" vertical="center"/>
    </xf>
    <xf numFmtId="167" fontId="23" fillId="0" borderId="1" xfId="3" applyNumberFormat="1" applyFont="1" applyFill="1" applyBorder="1" applyAlignment="1">
      <alignment horizontal="center"/>
    </xf>
    <xf numFmtId="9" fontId="23" fillId="0" borderId="0" xfId="0" applyNumberFormat="1" applyFont="1" applyFill="1"/>
    <xf numFmtId="0" fontId="23" fillId="0" borderId="0" xfId="0" applyFont="1" applyFill="1"/>
    <xf numFmtId="0" fontId="64" fillId="0" borderId="1" xfId="0" applyFont="1" applyFill="1" applyBorder="1" applyAlignment="1">
      <alignment vertical="center" wrapText="1"/>
    </xf>
    <xf numFmtId="0" fontId="64" fillId="0" borderId="1" xfId="0" applyFont="1" applyFill="1" applyBorder="1" applyAlignment="1">
      <alignment vertical="center"/>
    </xf>
    <xf numFmtId="0" fontId="64" fillId="0" borderId="1" xfId="0" applyFont="1" applyFill="1" applyBorder="1" applyAlignment="1">
      <alignment horizontal="center" vertical="center"/>
    </xf>
    <xf numFmtId="0" fontId="64" fillId="0" borderId="1" xfId="0" applyFont="1" applyFill="1" applyBorder="1" applyAlignment="1">
      <alignment horizontal="center" vertical="center" wrapText="1"/>
    </xf>
    <xf numFmtId="9" fontId="23" fillId="0" borderId="1" xfId="0" applyNumberFormat="1" applyFont="1" applyFill="1" applyBorder="1"/>
    <xf numFmtId="0" fontId="65" fillId="0" borderId="1" xfId="0" applyFont="1" applyFill="1" applyBorder="1"/>
    <xf numFmtId="0" fontId="65" fillId="0" borderId="1" xfId="0" applyFont="1" applyFill="1" applyBorder="1" applyAlignment="1">
      <alignment horizontal="center"/>
    </xf>
    <xf numFmtId="0" fontId="65" fillId="0" borderId="1" xfId="0" applyFont="1" applyFill="1" applyBorder="1" applyAlignment="1">
      <alignment horizontal="center" vertical="center" wrapText="1"/>
    </xf>
    <xf numFmtId="0" fontId="65" fillId="0" borderId="11" xfId="0" applyFont="1" applyFill="1" applyBorder="1" applyAlignment="1">
      <alignment horizontal="center" vertical="center" wrapText="1"/>
    </xf>
    <xf numFmtId="9" fontId="65" fillId="0" borderId="1" xfId="0" applyNumberFormat="1" applyFont="1" applyFill="1" applyBorder="1" applyAlignment="1">
      <alignment horizontal="center" vertical="center" wrapText="1"/>
    </xf>
    <xf numFmtId="0" fontId="65" fillId="0" borderId="13" xfId="0" applyFont="1" applyFill="1" applyBorder="1" applyAlignment="1">
      <alignment vertical="center"/>
    </xf>
    <xf numFmtId="0" fontId="65" fillId="0" borderId="9" xfId="0" applyFont="1" applyFill="1" applyBorder="1" applyAlignment="1">
      <alignment horizontal="center"/>
    </xf>
    <xf numFmtId="0" fontId="65" fillId="0" borderId="1" xfId="0" applyFont="1" applyFill="1" applyBorder="1" applyAlignment="1">
      <alignment wrapText="1"/>
    </xf>
    <xf numFmtId="0" fontId="65" fillId="0" borderId="1" xfId="0" applyFont="1" applyFill="1" applyBorder="1" applyAlignment="1">
      <alignment horizontal="center" wrapText="1"/>
    </xf>
    <xf numFmtId="0" fontId="67" fillId="0" borderId="0" xfId="0" applyFont="1" applyFill="1"/>
    <xf numFmtId="0" fontId="66" fillId="0" borderId="1" xfId="0" applyFont="1" applyFill="1" applyBorder="1"/>
    <xf numFmtId="0" fontId="66" fillId="0" borderId="1" xfId="0" applyFont="1" applyFill="1" applyBorder="1" applyAlignment="1">
      <alignment horizontal="center"/>
    </xf>
    <xf numFmtId="0" fontId="68" fillId="0" borderId="1" xfId="0" applyFont="1" applyFill="1" applyBorder="1" applyAlignment="1">
      <alignment horizontal="center"/>
    </xf>
    <xf numFmtId="171" fontId="66" fillId="0" borderId="1" xfId="10" applyNumberFormat="1" applyFont="1" applyFill="1" applyBorder="1"/>
    <xf numFmtId="0" fontId="4" fillId="0" borderId="1" xfId="0" quotePrefix="1" applyFont="1" applyBorder="1" applyAlignment="1">
      <alignment horizontal="left" wrapText="1"/>
    </xf>
    <xf numFmtId="0" fontId="65" fillId="0" borderId="1" xfId="0" applyFont="1" applyFill="1" applyBorder="1" applyAlignment="1">
      <alignment horizontal="left"/>
    </xf>
    <xf numFmtId="2" fontId="23" fillId="0" borderId="1" xfId="0" applyNumberFormat="1" applyFont="1" applyBorder="1" applyAlignment="1">
      <alignment wrapText="1"/>
    </xf>
    <xf numFmtId="0" fontId="0" fillId="0" borderId="1" xfId="0" applyBorder="1" applyAlignment="1">
      <alignment wrapText="1"/>
    </xf>
    <xf numFmtId="0" fontId="66" fillId="0" borderId="1" xfId="0" applyFont="1" applyFill="1" applyBorder="1" applyAlignment="1">
      <alignment wrapText="1"/>
    </xf>
    <xf numFmtId="0" fontId="69" fillId="0" borderId="1" xfId="0" applyFont="1" applyFill="1" applyBorder="1"/>
    <xf numFmtId="0" fontId="69" fillId="0" borderId="1" xfId="0" applyFont="1" applyFill="1" applyBorder="1" applyAlignment="1">
      <alignment horizontal="center"/>
    </xf>
    <xf numFmtId="0" fontId="0" fillId="0" borderId="1" xfId="0" applyFill="1" applyBorder="1"/>
    <xf numFmtId="0" fontId="2" fillId="0" borderId="1" xfId="0" applyFont="1" applyFill="1" applyBorder="1"/>
    <xf numFmtId="0" fontId="69" fillId="0" borderId="1" xfId="0" applyFont="1" applyFill="1" applyBorder="1" applyAlignment="1">
      <alignment wrapText="1"/>
    </xf>
    <xf numFmtId="9" fontId="0" fillId="0" borderId="1" xfId="1" applyFont="1" applyFill="1" applyBorder="1"/>
    <xf numFmtId="9" fontId="0" fillId="0" borderId="1" xfId="0" applyNumberFormat="1" applyFill="1" applyBorder="1"/>
    <xf numFmtId="9" fontId="69" fillId="0" borderId="1" xfId="0" applyNumberFormat="1" applyFont="1" applyFill="1" applyBorder="1"/>
    <xf numFmtId="9" fontId="69" fillId="0" borderId="1" xfId="0" applyNumberFormat="1" applyFont="1" applyFill="1" applyBorder="1" applyAlignment="1">
      <alignment horizontal="center"/>
    </xf>
    <xf numFmtId="9" fontId="67" fillId="0" borderId="1" xfId="0" applyNumberFormat="1" applyFont="1" applyFill="1" applyBorder="1"/>
    <xf numFmtId="170" fontId="67" fillId="0" borderId="1" xfId="0" applyNumberFormat="1" applyFont="1" applyFill="1" applyBorder="1"/>
    <xf numFmtId="9" fontId="24" fillId="0" borderId="1" xfId="1" applyFont="1" applyFill="1" applyBorder="1"/>
    <xf numFmtId="167" fontId="24" fillId="0" borderId="1" xfId="3" applyNumberFormat="1" applyFont="1" applyFill="1" applyBorder="1"/>
    <xf numFmtId="169" fontId="24" fillId="0" borderId="1" xfId="2" applyNumberFormat="1" applyFont="1" applyFill="1" applyBorder="1"/>
    <xf numFmtId="167" fontId="23" fillId="0" borderId="1" xfId="0" applyNumberFormat="1" applyFont="1" applyFill="1" applyBorder="1"/>
    <xf numFmtId="169" fontId="23" fillId="0" borderId="1" xfId="0" applyNumberFormat="1" applyFont="1" applyFill="1" applyBorder="1"/>
    <xf numFmtId="167" fontId="24" fillId="0" borderId="1" xfId="3" applyNumberFormat="1" applyFont="1" applyBorder="1" applyAlignment="1">
      <alignment wrapText="1"/>
    </xf>
    <xf numFmtId="0" fontId="23" fillId="0" borderId="1" xfId="0" applyFont="1" applyFill="1" applyBorder="1" applyAlignment="1">
      <alignment wrapText="1"/>
    </xf>
    <xf numFmtId="0" fontId="24" fillId="0" borderId="1" xfId="0" applyFont="1" applyFill="1" applyBorder="1" applyAlignment="1">
      <alignment wrapText="1"/>
    </xf>
    <xf numFmtId="0" fontId="2" fillId="0" borderId="1" xfId="0" applyFont="1" applyFill="1" applyBorder="1" applyAlignment="1">
      <alignment horizontal="center" vertical="center" wrapText="1"/>
    </xf>
    <xf numFmtId="0" fontId="70" fillId="0" borderId="1" xfId="0" applyFont="1" applyBorder="1" applyAlignment="1">
      <alignment horizontal="right" vertical="center" wrapText="1"/>
    </xf>
    <xf numFmtId="0" fontId="70" fillId="0" borderId="1" xfId="0" applyFont="1" applyBorder="1" applyAlignment="1">
      <alignment vertical="center" wrapText="1"/>
    </xf>
    <xf numFmtId="169" fontId="70" fillId="0" borderId="1" xfId="2" applyNumberFormat="1" applyFont="1" applyBorder="1" applyAlignment="1">
      <alignment vertical="center" wrapText="1"/>
    </xf>
    <xf numFmtId="9" fontId="0" fillId="0" borderId="1" xfId="0" applyNumberFormat="1" applyFont="1" applyFill="1" applyBorder="1"/>
    <xf numFmtId="169" fontId="0" fillId="0" borderId="1" xfId="0" applyNumberFormat="1" applyFont="1" applyBorder="1"/>
    <xf numFmtId="0" fontId="0" fillId="0" borderId="1" xfId="0" applyFont="1" applyBorder="1"/>
    <xf numFmtId="169" fontId="71" fillId="0" borderId="1" xfId="2" applyNumberFormat="1" applyFont="1" applyBorder="1" applyAlignment="1">
      <alignment horizontal="center" vertical="center" wrapText="1"/>
    </xf>
    <xf numFmtId="0" fontId="9" fillId="0" borderId="0" xfId="0" applyFont="1" applyAlignment="1">
      <alignment horizontal="left" vertical="center" wrapText="1"/>
    </xf>
    <xf numFmtId="0" fontId="59" fillId="0" borderId="8" xfId="0" applyFont="1" applyBorder="1" applyAlignment="1">
      <alignment horizontal="center" vertical="center" wrapText="1"/>
    </xf>
    <xf numFmtId="0" fontId="55" fillId="7" borderId="1" xfId="0" applyFont="1" applyFill="1" applyBorder="1" applyAlignment="1">
      <alignment horizontal="center" vertical="center" wrapText="1"/>
    </xf>
    <xf numFmtId="0" fontId="53"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53" fillId="8" borderId="1"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64" fillId="0" borderId="7"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22" fillId="0" borderId="0" xfId="0" applyFont="1" applyAlignment="1">
      <alignment horizontal="center"/>
    </xf>
    <xf numFmtId="0" fontId="71" fillId="0" borderId="1" xfId="0" applyFont="1" applyBorder="1" applyAlignment="1">
      <alignment horizontal="center" vertical="center" wrapText="1"/>
    </xf>
    <xf numFmtId="0" fontId="62" fillId="0" borderId="1" xfId="0" applyFont="1" applyFill="1" applyBorder="1" applyAlignment="1">
      <alignment horizontal="center" vertical="center" wrapText="1"/>
    </xf>
    <xf numFmtId="0" fontId="2" fillId="0" borderId="0" xfId="0" applyFont="1" applyAlignment="1">
      <alignment horizontal="center"/>
    </xf>
    <xf numFmtId="0" fontId="45" fillId="0" borderId="0" xfId="0" applyFont="1" applyAlignment="1">
      <alignment horizont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47" fillId="0" borderId="0" xfId="0" applyFont="1" applyAlignment="1">
      <alignment horizontal="center" wrapText="1"/>
    </xf>
    <xf numFmtId="0" fontId="2" fillId="0" borderId="0" xfId="0" applyFont="1" applyFill="1" applyAlignment="1">
      <alignment horizontal="center"/>
    </xf>
    <xf numFmtId="0" fontId="60" fillId="0" borderId="1" xfId="0" applyFont="1" applyFill="1" applyBorder="1" applyAlignment="1">
      <alignment horizontal="center" vertical="center" wrapText="1"/>
    </xf>
    <xf numFmtId="0" fontId="33" fillId="0" borderId="0" xfId="6" applyFont="1" applyAlignment="1">
      <alignment horizontal="center"/>
    </xf>
    <xf numFmtId="0" fontId="13" fillId="0" borderId="0" xfId="0" applyFont="1" applyAlignment="1">
      <alignment horizontal="center" vertical="center" wrapText="1"/>
    </xf>
    <xf numFmtId="0" fontId="14" fillId="0" borderId="0" xfId="6" applyFont="1" applyAlignment="1">
      <alignment horizontal="center"/>
    </xf>
    <xf numFmtId="0" fontId="24" fillId="0" borderId="8" xfId="0" applyFont="1" applyBorder="1" applyAlignment="1">
      <alignment horizontal="center"/>
    </xf>
    <xf numFmtId="0" fontId="2" fillId="0" borderId="8" xfId="0" applyFont="1" applyBorder="1" applyAlignment="1">
      <alignment horizontal="center"/>
    </xf>
    <xf numFmtId="0" fontId="22" fillId="0" borderId="14" xfId="0" applyFont="1" applyBorder="1" applyAlignment="1">
      <alignment horizontal="center"/>
    </xf>
    <xf numFmtId="0" fontId="2" fillId="0" borderId="0" xfId="0" applyFont="1" applyAlignment="1">
      <alignment horizontal="center" wrapText="1"/>
    </xf>
    <xf numFmtId="0" fontId="44" fillId="0" borderId="0" xfId="0" applyFont="1" applyAlignment="1">
      <alignment horizontal="center" wrapText="1"/>
    </xf>
    <xf numFmtId="0" fontId="43" fillId="0" borderId="0" xfId="0" applyFont="1" applyAlignment="1">
      <alignment horizontal="center" wrapText="1"/>
    </xf>
    <xf numFmtId="0" fontId="65" fillId="0" borderId="1" xfId="0" applyFont="1" applyFill="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65" fillId="0" borderId="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7"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26" fillId="5" borderId="8" xfId="0" applyFont="1" applyFill="1" applyBorder="1" applyAlignment="1">
      <alignment horizontal="center"/>
    </xf>
    <xf numFmtId="0" fontId="26" fillId="5" borderId="0" xfId="0" applyFont="1" applyFill="1" applyAlignment="1">
      <alignment horizontal="center"/>
    </xf>
    <xf numFmtId="0" fontId="40" fillId="0" borderId="0" xfId="0" applyFont="1" applyAlignment="1">
      <alignment horizontal="center" wrapText="1"/>
    </xf>
    <xf numFmtId="0" fontId="22" fillId="0" borderId="12" xfId="0" applyFont="1" applyBorder="1" applyAlignment="1">
      <alignment horizontal="center"/>
    </xf>
    <xf numFmtId="0" fontId="42" fillId="0" borderId="0" xfId="0" applyFont="1" applyAlignment="1">
      <alignment horizontal="center" wrapText="1"/>
    </xf>
    <xf numFmtId="0" fontId="41" fillId="0" borderId="0" xfId="0" applyFont="1" applyAlignment="1">
      <alignment horizontal="center" wrapText="1"/>
    </xf>
    <xf numFmtId="0" fontId="6" fillId="0" borderId="1" xfId="0" applyFont="1" applyBorder="1" applyAlignment="1">
      <alignment horizontal="center" wrapText="1"/>
    </xf>
    <xf numFmtId="0" fontId="12" fillId="0" borderId="0" xfId="0" applyFont="1" applyAlignment="1">
      <alignment horizontal="center" wrapText="1"/>
    </xf>
    <xf numFmtId="0" fontId="21" fillId="0" borderId="0" xfId="0" applyFont="1" applyAlignment="1">
      <alignment horizontal="center"/>
    </xf>
    <xf numFmtId="0" fontId="50" fillId="0" borderId="0" xfId="8" applyFont="1" applyAlignment="1" applyProtection="1">
      <alignment horizontal="center" wrapText="1"/>
    </xf>
    <xf numFmtId="0" fontId="49" fillId="0" borderId="0" xfId="0" applyFont="1" applyAlignment="1">
      <alignment horizontal="center" wrapText="1"/>
    </xf>
    <xf numFmtId="0" fontId="51" fillId="0" borderId="0" xfId="0" applyFont="1" applyAlignment="1">
      <alignment horizontal="center" wrapText="1"/>
    </xf>
    <xf numFmtId="0" fontId="21" fillId="0" borderId="7" xfId="0" applyFont="1" applyBorder="1" applyAlignment="1">
      <alignment horizontal="center"/>
    </xf>
    <xf numFmtId="0" fontId="21" fillId="0" borderId="8"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47" fillId="0" borderId="0" xfId="0" applyFont="1" applyAlignment="1">
      <alignment horizontal="center"/>
    </xf>
    <xf numFmtId="2" fontId="23" fillId="0" borderId="1" xfId="2" applyNumberFormat="1" applyFont="1" applyBorder="1" applyAlignment="1">
      <alignment horizontal="center"/>
    </xf>
    <xf numFmtId="10" fontId="24" fillId="0" borderId="1" xfId="1" applyNumberFormat="1" applyFont="1" applyBorder="1" applyAlignment="1">
      <alignment horizontal="center"/>
    </xf>
    <xf numFmtId="0" fontId="22" fillId="0" borderId="8" xfId="0" applyFont="1" applyBorder="1" applyAlignment="1">
      <alignment horizontal="center"/>
    </xf>
    <xf numFmtId="0" fontId="52" fillId="4" borderId="15" xfId="0" applyFont="1" applyFill="1" applyBorder="1" applyAlignment="1">
      <alignment horizontal="left" vertical="center"/>
    </xf>
    <xf numFmtId="0" fontId="52" fillId="4" borderId="9" xfId="0" applyFont="1" applyFill="1" applyBorder="1" applyAlignment="1">
      <alignment horizontal="left" vertical="center"/>
    </xf>
    <xf numFmtId="0" fontId="0" fillId="0" borderId="0" xfId="0" applyAlignment="1">
      <alignment horizont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22" fillId="0" borderId="10" xfId="0" applyFont="1" applyBorder="1" applyAlignment="1">
      <alignment horizontal="center"/>
    </xf>
    <xf numFmtId="0" fontId="22" fillId="0" borderId="16" xfId="0" applyFont="1" applyBorder="1" applyAlignment="1">
      <alignment horizontal="center"/>
    </xf>
    <xf numFmtId="0" fontId="22" fillId="0" borderId="11" xfId="0" applyFont="1" applyBorder="1" applyAlignment="1">
      <alignment horizontal="center"/>
    </xf>
    <xf numFmtId="0" fontId="48" fillId="4" borderId="15" xfId="0" applyFont="1" applyFill="1" applyBorder="1" applyAlignment="1">
      <alignment vertical="center"/>
    </xf>
    <xf numFmtId="0" fontId="48" fillId="4" borderId="9" xfId="0" applyFont="1" applyFill="1" applyBorder="1" applyAlignment="1">
      <alignment vertical="center"/>
    </xf>
    <xf numFmtId="0" fontId="33" fillId="0" borderId="10" xfId="0" applyFont="1" applyBorder="1" applyAlignment="1">
      <alignment horizontal="center"/>
    </xf>
    <xf numFmtId="0" fontId="33" fillId="0" borderId="16" xfId="0" applyFont="1" applyBorder="1" applyAlignment="1">
      <alignment horizontal="center"/>
    </xf>
    <xf numFmtId="0" fontId="33" fillId="0" borderId="11" xfId="0" applyFont="1" applyBorder="1" applyAlignment="1">
      <alignment horizontal="center"/>
    </xf>
    <xf numFmtId="0" fontId="48" fillId="4" borderId="15" xfId="0" applyFont="1" applyFill="1" applyBorder="1" applyAlignment="1">
      <alignment horizontal="left" vertical="center"/>
    </xf>
    <xf numFmtId="0" fontId="48" fillId="4" borderId="9" xfId="0" applyFont="1" applyFill="1" applyBorder="1" applyAlignment="1">
      <alignment horizontal="left" vertical="center"/>
    </xf>
    <xf numFmtId="0" fontId="14" fillId="0" borderId="10" xfId="0" applyFont="1" applyBorder="1" applyAlignment="1">
      <alignment horizontal="center"/>
    </xf>
    <xf numFmtId="0" fontId="14" fillId="0" borderId="16" xfId="0" applyFont="1" applyBorder="1" applyAlignment="1">
      <alignment horizontal="center"/>
    </xf>
    <xf numFmtId="0" fontId="14" fillId="0" borderId="11" xfId="0" applyFont="1" applyBorder="1" applyAlignment="1">
      <alignment horizontal="center"/>
    </xf>
    <xf numFmtId="0" fontId="69" fillId="0" borderId="15" xfId="0" applyFont="1" applyFill="1" applyBorder="1" applyAlignment="1">
      <alignment vertical="center"/>
    </xf>
    <xf numFmtId="0" fontId="69" fillId="0" borderId="9" xfId="0" applyFont="1" applyFill="1" applyBorder="1" applyAlignment="1">
      <alignment vertical="center"/>
    </xf>
    <xf numFmtId="0" fontId="69" fillId="0" borderId="15" xfId="0" applyFont="1" applyFill="1" applyBorder="1" applyAlignment="1">
      <alignment horizontal="left" vertical="center"/>
    </xf>
    <xf numFmtId="0" fontId="69" fillId="0" borderId="9"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9" xfId="0" applyFont="1" applyFill="1" applyBorder="1" applyAlignment="1">
      <alignment horizontal="left" vertical="center"/>
    </xf>
    <xf numFmtId="0" fontId="2" fillId="0" borderId="1" xfId="0" applyFont="1" applyBorder="1" applyAlignment="1">
      <alignment horizontal="center" vertic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topLeftCell="A7" workbookViewId="0">
      <selection activeCell="B22" sqref="B22"/>
    </sheetView>
  </sheetViews>
  <sheetFormatPr defaultColWidth="9.28515625" defaultRowHeight="15"/>
  <cols>
    <col min="1" max="1" width="12.7109375" style="251" customWidth="1"/>
    <col min="2" max="2" width="56" style="251" customWidth="1"/>
    <col min="3" max="3" width="26.28515625" style="251" customWidth="1"/>
    <col min="4" max="4" width="20.7109375" style="251" customWidth="1"/>
    <col min="5" max="5" width="29.42578125" style="251" customWidth="1"/>
    <col min="6" max="16384" width="9.28515625" style="251"/>
  </cols>
  <sheetData>
    <row r="1" spans="1:5" ht="26.25" customHeight="1">
      <c r="A1" s="362" t="s">
        <v>613</v>
      </c>
      <c r="B1" s="362"/>
      <c r="C1" s="362"/>
      <c r="D1" s="362"/>
      <c r="E1" s="362"/>
    </row>
    <row r="2" spans="1:5" ht="26.25" customHeight="1">
      <c r="A2" s="363" t="s">
        <v>610</v>
      </c>
      <c r="B2" s="363"/>
      <c r="C2" s="363"/>
      <c r="D2" s="363"/>
      <c r="E2" s="363"/>
    </row>
    <row r="3" spans="1:5" ht="23.25" customHeight="1">
      <c r="A3" s="364" t="s">
        <v>582</v>
      </c>
      <c r="B3" s="364"/>
      <c r="C3" s="364"/>
      <c r="D3" s="364"/>
      <c r="E3" s="364"/>
    </row>
    <row r="4" spans="1:5" ht="240.75" customHeight="1">
      <c r="A4" s="365" t="s">
        <v>614</v>
      </c>
      <c r="B4" s="365"/>
      <c r="C4" s="365"/>
      <c r="D4" s="365"/>
      <c r="E4" s="365"/>
    </row>
    <row r="5" spans="1:5" ht="23.25" customHeight="1">
      <c r="A5" s="364" t="s">
        <v>583</v>
      </c>
      <c r="B5" s="364"/>
      <c r="C5" s="364"/>
      <c r="D5" s="364"/>
      <c r="E5" s="364"/>
    </row>
    <row r="6" spans="1:5" ht="108" customHeight="1">
      <c r="A6" s="372" t="s">
        <v>652</v>
      </c>
      <c r="B6" s="373"/>
      <c r="C6" s="373"/>
      <c r="D6" s="373"/>
      <c r="E6" s="374"/>
    </row>
    <row r="7" spans="1:5" ht="23.25" customHeight="1">
      <c r="A7" s="375" t="s">
        <v>615</v>
      </c>
      <c r="B7" s="375"/>
      <c r="C7" s="375"/>
      <c r="D7" s="375"/>
      <c r="E7" s="375"/>
    </row>
    <row r="8" spans="1:5" ht="125.25" customHeight="1">
      <c r="A8" s="365" t="s">
        <v>651</v>
      </c>
      <c r="B8" s="365"/>
      <c r="C8" s="365"/>
      <c r="D8" s="365"/>
      <c r="E8" s="365"/>
    </row>
    <row r="9" spans="1:5" ht="23.25">
      <c r="A9" s="364" t="s">
        <v>607</v>
      </c>
      <c r="B9" s="364"/>
      <c r="C9" s="364"/>
      <c r="D9" s="364"/>
      <c r="E9" s="364"/>
    </row>
    <row r="10" spans="1:5">
      <c r="A10" s="251" t="s">
        <v>584</v>
      </c>
      <c r="B10" s="251" t="s">
        <v>151</v>
      </c>
    </row>
    <row r="11" spans="1:5" ht="20.25" customHeight="1">
      <c r="A11" s="254"/>
      <c r="B11" s="376" t="s">
        <v>398</v>
      </c>
      <c r="C11" s="377"/>
      <c r="D11" s="377"/>
      <c r="E11" s="378"/>
    </row>
    <row r="12" spans="1:5">
      <c r="A12" s="255"/>
      <c r="B12" s="366" t="s">
        <v>399</v>
      </c>
      <c r="C12" s="366"/>
      <c r="D12" s="366"/>
      <c r="E12" s="366"/>
    </row>
    <row r="13" spans="1:5">
      <c r="A13" s="367"/>
      <c r="B13" s="367"/>
      <c r="C13" s="367"/>
      <c r="D13" s="367"/>
      <c r="E13" s="368"/>
    </row>
    <row r="14" spans="1:5" ht="23.25">
      <c r="A14" s="364" t="s">
        <v>608</v>
      </c>
      <c r="B14" s="364"/>
      <c r="C14" s="364"/>
      <c r="D14" s="364"/>
      <c r="E14" s="364"/>
    </row>
    <row r="15" spans="1:5">
      <c r="A15" s="252" t="s">
        <v>580</v>
      </c>
      <c r="B15" s="252" t="s">
        <v>616</v>
      </c>
      <c r="C15" s="252" t="s">
        <v>449</v>
      </c>
      <c r="D15" s="252" t="s">
        <v>588</v>
      </c>
      <c r="E15" s="252" t="s">
        <v>581</v>
      </c>
    </row>
    <row r="16" spans="1:5">
      <c r="A16" s="257" t="s">
        <v>173</v>
      </c>
      <c r="B16" s="257" t="s">
        <v>617</v>
      </c>
      <c r="C16" s="257"/>
      <c r="D16" s="257"/>
      <c r="E16" s="257"/>
    </row>
    <row r="17" spans="1:5" ht="60">
      <c r="A17" s="258" t="s">
        <v>598</v>
      </c>
      <c r="B17" s="253" t="s">
        <v>605</v>
      </c>
      <c r="C17" s="253" t="s">
        <v>648</v>
      </c>
      <c r="D17" s="253" t="s">
        <v>618</v>
      </c>
      <c r="E17" s="253"/>
    </row>
    <row r="18" spans="1:5" ht="90">
      <c r="A18" s="258" t="s">
        <v>599</v>
      </c>
      <c r="B18" s="253" t="s">
        <v>585</v>
      </c>
      <c r="C18" s="253" t="s">
        <v>649</v>
      </c>
      <c r="D18" s="253" t="s">
        <v>619</v>
      </c>
      <c r="E18" s="253"/>
    </row>
    <row r="19" spans="1:5" ht="26.25" customHeight="1">
      <c r="A19" s="258" t="s">
        <v>600</v>
      </c>
      <c r="B19" s="227" t="s">
        <v>611</v>
      </c>
      <c r="C19" s="253" t="s">
        <v>620</v>
      </c>
      <c r="D19" s="253" t="s">
        <v>621</v>
      </c>
      <c r="E19" s="253" t="s">
        <v>609</v>
      </c>
    </row>
    <row r="20" spans="1:5" ht="30">
      <c r="A20" s="258" t="s">
        <v>601</v>
      </c>
      <c r="B20" s="253" t="s">
        <v>650</v>
      </c>
      <c r="C20" s="253"/>
      <c r="D20" s="253"/>
      <c r="E20" s="253"/>
    </row>
    <row r="21" spans="1:5">
      <c r="A21" s="253">
        <v>4.0999999999999996</v>
      </c>
      <c r="B21" s="253" t="s">
        <v>592</v>
      </c>
      <c r="C21" s="369" t="s">
        <v>622</v>
      </c>
      <c r="D21" s="253" t="s">
        <v>623</v>
      </c>
      <c r="E21" s="253"/>
    </row>
    <row r="22" spans="1:5" ht="30">
      <c r="A22" s="253">
        <v>4.2</v>
      </c>
      <c r="B22" s="253" t="s">
        <v>596</v>
      </c>
      <c r="C22" s="370"/>
      <c r="D22" s="253" t="s">
        <v>624</v>
      </c>
      <c r="E22" s="253"/>
    </row>
    <row r="23" spans="1:5">
      <c r="A23" s="253">
        <v>4.3</v>
      </c>
      <c r="B23" s="253" t="s">
        <v>593</v>
      </c>
      <c r="C23" s="370"/>
      <c r="D23" s="253" t="s">
        <v>625</v>
      </c>
      <c r="E23" s="253"/>
    </row>
    <row r="24" spans="1:5">
      <c r="A24" s="253">
        <v>4.4000000000000004</v>
      </c>
      <c r="B24" s="253" t="s">
        <v>594</v>
      </c>
      <c r="C24" s="370"/>
      <c r="D24" s="253" t="s">
        <v>626</v>
      </c>
      <c r="E24" s="253"/>
    </row>
    <row r="25" spans="1:5">
      <c r="A25" s="253">
        <v>4.5</v>
      </c>
      <c r="B25" s="253" t="s">
        <v>595</v>
      </c>
      <c r="C25" s="370"/>
      <c r="D25" s="253" t="s">
        <v>627</v>
      </c>
      <c r="E25" s="253"/>
    </row>
    <row r="26" spans="1:5">
      <c r="A26" s="253">
        <v>4.5999999999999996</v>
      </c>
      <c r="B26" s="253" t="s">
        <v>597</v>
      </c>
      <c r="C26" s="371"/>
      <c r="D26" s="253" t="s">
        <v>628</v>
      </c>
      <c r="E26" s="253"/>
    </row>
    <row r="27" spans="1:5" ht="45">
      <c r="A27" s="258" t="s">
        <v>602</v>
      </c>
      <c r="B27" s="253" t="s">
        <v>586</v>
      </c>
      <c r="C27" s="253" t="s">
        <v>629</v>
      </c>
      <c r="D27" s="253" t="s">
        <v>654</v>
      </c>
      <c r="E27" s="253"/>
    </row>
    <row r="28" spans="1:5" ht="60">
      <c r="A28" s="258" t="s">
        <v>603</v>
      </c>
      <c r="B28" s="253" t="s">
        <v>630</v>
      </c>
      <c r="C28" s="253" t="s">
        <v>631</v>
      </c>
      <c r="D28" s="253" t="s">
        <v>632</v>
      </c>
      <c r="E28" s="253"/>
    </row>
    <row r="29" spans="1:5" ht="45">
      <c r="A29" s="258" t="s">
        <v>604</v>
      </c>
      <c r="B29" s="253" t="s">
        <v>587</v>
      </c>
      <c r="C29" s="253" t="s">
        <v>633</v>
      </c>
      <c r="D29" s="253" t="s">
        <v>634</v>
      </c>
      <c r="E29" s="253"/>
    </row>
    <row r="30" spans="1:5">
      <c r="A30" s="257" t="s">
        <v>174</v>
      </c>
      <c r="B30" s="259" t="s">
        <v>635</v>
      </c>
      <c r="C30" s="257"/>
      <c r="D30" s="257"/>
      <c r="E30" s="257"/>
    </row>
    <row r="31" spans="1:5" ht="26.25" customHeight="1">
      <c r="A31" s="260" t="s">
        <v>636</v>
      </c>
      <c r="B31" s="253" t="s">
        <v>589</v>
      </c>
      <c r="C31" s="253"/>
      <c r="D31" s="253" t="s">
        <v>637</v>
      </c>
      <c r="E31" s="253" t="s">
        <v>609</v>
      </c>
    </row>
    <row r="32" spans="1:5">
      <c r="A32" s="260" t="s">
        <v>638</v>
      </c>
      <c r="B32" s="253" t="s">
        <v>590</v>
      </c>
      <c r="C32" s="253"/>
      <c r="D32" s="253" t="s">
        <v>639</v>
      </c>
      <c r="E32" s="253" t="s">
        <v>609</v>
      </c>
    </row>
    <row r="33" spans="1:5">
      <c r="A33" s="260" t="s">
        <v>640</v>
      </c>
      <c r="B33" s="253" t="s">
        <v>591</v>
      </c>
      <c r="C33" s="253"/>
      <c r="D33" s="253" t="s">
        <v>641</v>
      </c>
      <c r="E33" s="253" t="s">
        <v>609</v>
      </c>
    </row>
    <row r="34" spans="1:5" ht="35.25" customHeight="1">
      <c r="A34" s="260" t="s">
        <v>642</v>
      </c>
      <c r="B34" s="253" t="s">
        <v>606</v>
      </c>
      <c r="C34" s="253"/>
      <c r="D34" s="253" t="s">
        <v>643</v>
      </c>
      <c r="E34" s="253" t="s">
        <v>609</v>
      </c>
    </row>
    <row r="35" spans="1:5" ht="35.25" customHeight="1">
      <c r="A35" s="260" t="s">
        <v>644</v>
      </c>
      <c r="B35" s="253" t="s">
        <v>645</v>
      </c>
      <c r="C35" s="253"/>
      <c r="D35" s="253" t="s">
        <v>653</v>
      </c>
      <c r="E35" s="253" t="s">
        <v>609</v>
      </c>
    </row>
    <row r="36" spans="1:5">
      <c r="A36" s="258" t="s">
        <v>646</v>
      </c>
      <c r="B36" s="253" t="s">
        <v>647</v>
      </c>
      <c r="C36" s="253"/>
      <c r="D36" s="253"/>
      <c r="E36" s="253"/>
    </row>
    <row r="37" spans="1:5" ht="21">
      <c r="A37" s="361"/>
      <c r="B37" s="361"/>
      <c r="C37" s="361"/>
      <c r="D37" s="361"/>
      <c r="E37" s="36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dimension ref="B5:S184"/>
  <sheetViews>
    <sheetView view="pageBreakPreview" zoomScale="80" zoomScaleSheetLayoutView="80" workbookViewId="0">
      <selection activeCell="J180" sqref="J180"/>
    </sheetView>
  </sheetViews>
  <sheetFormatPr defaultRowHeight="15"/>
  <cols>
    <col min="1" max="1" width="3.5703125" customWidth="1"/>
    <col min="2" max="2" width="25.28515625" customWidth="1"/>
    <col min="3" max="3" width="16.28515625" bestFit="1" customWidth="1"/>
    <col min="4" max="5" width="14.7109375" customWidth="1"/>
    <col min="6" max="6" width="16.5703125" customWidth="1"/>
    <col min="7" max="9" width="15.42578125" bestFit="1" customWidth="1"/>
    <col min="10" max="10" width="14.7109375" customWidth="1"/>
    <col min="11" max="11" width="14.42578125" customWidth="1"/>
    <col min="12" max="12" width="14.7109375" bestFit="1" customWidth="1"/>
    <col min="13" max="18" width="11.7109375" bestFit="1" customWidth="1"/>
    <col min="19" max="19" width="4.5703125" bestFit="1" customWidth="1"/>
  </cols>
  <sheetData>
    <row r="5" spans="2:12" ht="18.75">
      <c r="B5" s="415" t="s">
        <v>537</v>
      </c>
      <c r="C5" s="415"/>
      <c r="D5" s="415"/>
      <c r="E5" s="415"/>
      <c r="F5" s="415"/>
      <c r="G5" s="415"/>
      <c r="H5" s="415"/>
      <c r="I5" s="415"/>
      <c r="J5" s="415"/>
    </row>
    <row r="6" spans="2:12" ht="16.5">
      <c r="B6" s="7"/>
      <c r="C6" s="7"/>
      <c r="D6" s="7"/>
      <c r="E6" s="7"/>
      <c r="F6" s="7"/>
      <c r="G6" s="7"/>
      <c r="H6" s="7"/>
      <c r="I6" s="7"/>
      <c r="J6" s="7"/>
    </row>
    <row r="7" spans="2:12" ht="15.75">
      <c r="B7" s="330" t="s">
        <v>29</v>
      </c>
      <c r="C7" s="327" t="s">
        <v>334</v>
      </c>
      <c r="D7" s="327" t="s">
        <v>2</v>
      </c>
      <c r="E7" s="327" t="s">
        <v>3</v>
      </c>
      <c r="F7" s="327" t="s">
        <v>4</v>
      </c>
      <c r="G7" s="327" t="s">
        <v>5</v>
      </c>
      <c r="H7" s="327" t="s">
        <v>6</v>
      </c>
      <c r="I7" s="327" t="s">
        <v>169</v>
      </c>
      <c r="J7" s="327" t="s">
        <v>168</v>
      </c>
      <c r="K7" s="324"/>
      <c r="L7" s="256"/>
    </row>
    <row r="8" spans="2:12">
      <c r="B8" s="55"/>
      <c r="C8" s="55"/>
      <c r="D8" s="55"/>
      <c r="E8" s="55"/>
      <c r="F8" s="55"/>
      <c r="G8" s="55"/>
      <c r="H8" s="55"/>
      <c r="I8" s="55"/>
      <c r="J8" s="55"/>
    </row>
    <row r="9" spans="2:12">
      <c r="B9" s="33" t="s">
        <v>30</v>
      </c>
      <c r="C9" s="55"/>
      <c r="D9" s="63">
        <f>'6.Cons Profit &amp; Loss'!B51</f>
        <v>1243094.844445162</v>
      </c>
      <c r="E9" s="63">
        <f>'6.Cons Profit &amp; Loss'!C51</f>
        <v>1623328.9164401703</v>
      </c>
      <c r="F9" s="63">
        <f>'6.Cons Profit &amp; Loss'!D51</f>
        <v>2545487.4445098671</v>
      </c>
      <c r="G9" s="63">
        <f>'6.Cons Profit &amp; Loss'!E51</f>
        <v>3574551.8624497075</v>
      </c>
      <c r="H9" s="63">
        <f>'6.Cons Profit &amp; Loss'!F51</f>
        <v>4715983.4938022764</v>
      </c>
      <c r="I9" s="63">
        <f>'6.Cons Profit &amp; Loss'!G51</f>
        <v>6069485.2745981207</v>
      </c>
      <c r="J9" s="63">
        <f>'6.Cons Profit &amp; Loss'!H51</f>
        <v>7455965.5882171057</v>
      </c>
    </row>
    <row r="10" spans="2:12">
      <c r="B10" s="33"/>
      <c r="C10" s="55"/>
      <c r="D10" s="63"/>
      <c r="E10" s="63"/>
      <c r="F10" s="63"/>
      <c r="G10" s="63"/>
      <c r="H10" s="63"/>
      <c r="I10" s="63"/>
      <c r="J10" s="63"/>
    </row>
    <row r="11" spans="2:12">
      <c r="B11" s="29" t="s">
        <v>31</v>
      </c>
      <c r="C11" s="58"/>
      <c r="D11" s="63">
        <f>'6.Cons Profit &amp; Loss'!B42</f>
        <v>1089128.9889999998</v>
      </c>
      <c r="E11" s="63">
        <f>'6.Cons Profit &amp; Loss'!C42</f>
        <v>1089128.9889999998</v>
      </c>
      <c r="F11" s="63">
        <f>'6.Cons Profit &amp; Loss'!D42</f>
        <v>1089128.9889999998</v>
      </c>
      <c r="G11" s="63">
        <f>'6.Cons Profit &amp; Loss'!E42</f>
        <v>1089128.9889999998</v>
      </c>
      <c r="H11" s="63">
        <f>'6.Cons Profit &amp; Loss'!F42</f>
        <v>1089128.9889999998</v>
      </c>
      <c r="I11" s="63">
        <f>'6.Cons Profit &amp; Loss'!G42</f>
        <v>1089128.9889999998</v>
      </c>
      <c r="J11" s="63">
        <f>'6.Cons Profit &amp; Loss'!H42</f>
        <v>1089128.9889999998</v>
      </c>
    </row>
    <row r="12" spans="2:12" ht="30">
      <c r="B12" s="33" t="s">
        <v>36</v>
      </c>
      <c r="C12" s="55"/>
      <c r="D12" s="63">
        <f>'6.Cons Profit &amp; Loss'!B43</f>
        <v>126000</v>
      </c>
      <c r="E12" s="63">
        <f>'6.Cons Profit &amp; Loss'!C43</f>
        <v>126000</v>
      </c>
      <c r="F12" s="63">
        <f>'6.Cons Profit &amp; Loss'!D43</f>
        <v>126000</v>
      </c>
      <c r="G12" s="63">
        <f>'6.Cons Profit &amp; Loss'!E43</f>
        <v>126000</v>
      </c>
      <c r="H12" s="63">
        <f>'6.Cons Profit &amp; Loss'!F43</f>
        <v>126000</v>
      </c>
      <c r="I12" s="63">
        <f>'6.Cons Profit &amp; Loss'!G43</f>
        <v>0</v>
      </c>
      <c r="J12" s="63">
        <f>'6.Cons Profit &amp; Loss'!H43</f>
        <v>0</v>
      </c>
    </row>
    <row r="13" spans="2:12">
      <c r="B13" s="33"/>
      <c r="C13" s="55"/>
      <c r="D13" s="55"/>
      <c r="E13" s="55"/>
      <c r="F13" s="55"/>
      <c r="G13" s="55"/>
      <c r="H13" s="55"/>
      <c r="I13" s="55"/>
      <c r="J13" s="55"/>
    </row>
    <row r="14" spans="2:12">
      <c r="B14" s="33" t="s">
        <v>32</v>
      </c>
      <c r="C14" s="55"/>
      <c r="D14" s="63">
        <f>SUM(D9:D12)</f>
        <v>2458223.8334451616</v>
      </c>
      <c r="E14" s="63">
        <f t="shared" ref="E14:J14" si="0">SUM(E9:E12)</f>
        <v>2838457.9054401703</v>
      </c>
      <c r="F14" s="63">
        <f t="shared" si="0"/>
        <v>3760616.4335098667</v>
      </c>
      <c r="G14" s="63">
        <f t="shared" si="0"/>
        <v>4789680.8514497075</v>
      </c>
      <c r="H14" s="63">
        <f t="shared" si="0"/>
        <v>5931112.4828022765</v>
      </c>
      <c r="I14" s="63">
        <f t="shared" si="0"/>
        <v>7158614.2635981208</v>
      </c>
      <c r="J14" s="63">
        <f t="shared" si="0"/>
        <v>8545094.5772171058</v>
      </c>
    </row>
    <row r="15" spans="2:12" ht="30">
      <c r="B15" s="33" t="s">
        <v>342</v>
      </c>
      <c r="C15" s="64">
        <f>-'1.Project Cost and MOF'!D12</f>
        <v>-21585137.194371399</v>
      </c>
      <c r="D15" s="63">
        <f>D14</f>
        <v>2458223.8334451616</v>
      </c>
      <c r="E15" s="63">
        <f t="shared" ref="E15:J15" si="1">E14</f>
        <v>2838457.9054401703</v>
      </c>
      <c r="F15" s="63">
        <f t="shared" si="1"/>
        <v>3760616.4335098667</v>
      </c>
      <c r="G15" s="63">
        <f t="shared" si="1"/>
        <v>4789680.8514497075</v>
      </c>
      <c r="H15" s="63">
        <f t="shared" si="1"/>
        <v>5931112.4828022765</v>
      </c>
      <c r="I15" s="63">
        <f t="shared" si="1"/>
        <v>7158614.2635981208</v>
      </c>
      <c r="J15" s="63">
        <f t="shared" si="1"/>
        <v>8545094.5772171058</v>
      </c>
    </row>
    <row r="16" spans="2:12">
      <c r="B16" s="33" t="s">
        <v>281</v>
      </c>
      <c r="C16" s="193">
        <f>IRR(C15:J15)</f>
        <v>0.1134761964945339</v>
      </c>
      <c r="D16" s="63"/>
      <c r="E16" s="63"/>
      <c r="F16" s="63"/>
      <c r="G16" s="63"/>
      <c r="H16" s="63"/>
      <c r="I16" s="63"/>
      <c r="J16" s="63"/>
    </row>
    <row r="17" spans="2:19">
      <c r="B17" s="33"/>
      <c r="C17" s="55"/>
      <c r="D17" s="55"/>
      <c r="E17" s="55"/>
      <c r="F17" s="55"/>
      <c r="G17" s="55"/>
      <c r="H17" s="55"/>
      <c r="I17" s="55"/>
      <c r="J17" s="55"/>
    </row>
    <row r="18" spans="2:19" ht="16.5">
      <c r="B18" s="329" t="s">
        <v>401</v>
      </c>
      <c r="C18" s="194"/>
      <c r="D18" s="195">
        <f>1/(1+$C$16)</f>
        <v>0.89808834993349496</v>
      </c>
      <c r="E18" s="196">
        <f t="shared" ref="E18:J18" si="2">D18/(1+$C$16)</f>
        <v>0.80656268428626776</v>
      </c>
      <c r="F18" s="196">
        <f t="shared" si="2"/>
        <v>0.7243645502485847</v>
      </c>
      <c r="G18" s="196">
        <f t="shared" si="2"/>
        <v>0.65054336368306964</v>
      </c>
      <c r="H18" s="196">
        <f t="shared" si="2"/>
        <v>0.58424541605031355</v>
      </c>
      <c r="I18" s="196">
        <f t="shared" si="2"/>
        <v>0.5247040016568344</v>
      </c>
      <c r="J18" s="196">
        <f t="shared" si="2"/>
        <v>0.47123055105148826</v>
      </c>
      <c r="L18" s="14"/>
      <c r="M18" s="14"/>
      <c r="N18" s="14"/>
      <c r="O18" s="14"/>
      <c r="P18" s="14"/>
      <c r="Q18" s="14"/>
      <c r="R18" s="14"/>
      <c r="S18" s="14"/>
    </row>
    <row r="19" spans="2:19" ht="30">
      <c r="B19" s="33" t="s">
        <v>33</v>
      </c>
      <c r="C19" s="55"/>
      <c r="D19" s="63">
        <f t="shared" ref="D19:J19" si="3">D14*D18</f>
        <v>2207702.1863459558</v>
      </c>
      <c r="E19" s="63">
        <f t="shared" si="3"/>
        <v>2289394.2274454008</v>
      </c>
      <c r="F19" s="63">
        <f t="shared" si="3"/>
        <v>2724057.2315168111</v>
      </c>
      <c r="G19" s="63">
        <f t="shared" si="3"/>
        <v>3115895.0920704817</v>
      </c>
      <c r="H19" s="63">
        <f t="shared" si="3"/>
        <v>3465225.2801560243</v>
      </c>
      <c r="I19" s="63">
        <f t="shared" si="3"/>
        <v>3756153.5504276268</v>
      </c>
      <c r="J19" s="63">
        <f t="shared" si="3"/>
        <v>4026709.6264091008</v>
      </c>
      <c r="L19" s="6"/>
    </row>
    <row r="20" spans="2:19">
      <c r="B20" s="33" t="s">
        <v>34</v>
      </c>
      <c r="C20" s="55"/>
      <c r="D20" s="422">
        <f>SUM(D19:J19)</f>
        <v>21585137.194371402</v>
      </c>
      <c r="E20" s="422"/>
      <c r="F20" s="422"/>
      <c r="G20" s="422"/>
      <c r="H20" s="422"/>
      <c r="I20" s="422"/>
      <c r="J20" s="422"/>
      <c r="L20" s="6"/>
    </row>
    <row r="21" spans="2:19">
      <c r="B21" s="33"/>
      <c r="C21" s="55"/>
      <c r="D21" s="63"/>
      <c r="E21" s="63"/>
      <c r="F21" s="63"/>
      <c r="G21" s="63"/>
      <c r="H21" s="63"/>
      <c r="I21" s="63"/>
      <c r="J21" s="63"/>
    </row>
    <row r="22" spans="2:19">
      <c r="B22" s="8" t="s">
        <v>35</v>
      </c>
      <c r="C22" s="8"/>
      <c r="D22" s="423">
        <f>'1.Project Cost and MOF'!D12</f>
        <v>21585137.194371399</v>
      </c>
      <c r="E22" s="423"/>
      <c r="F22" s="423"/>
      <c r="G22" s="423"/>
      <c r="H22" s="423"/>
      <c r="I22" s="423"/>
      <c r="J22" s="423"/>
    </row>
    <row r="23" spans="2:19">
      <c r="F23" s="14">
        <f>D20-D22</f>
        <v>0</v>
      </c>
    </row>
    <row r="24" spans="2:19" ht="29.65" customHeight="1">
      <c r="B24" s="416" t="s">
        <v>417</v>
      </c>
      <c r="C24" s="416"/>
      <c r="D24" s="416"/>
      <c r="E24" s="416"/>
      <c r="F24" s="416"/>
      <c r="G24" s="416"/>
      <c r="H24" s="416"/>
      <c r="I24" s="416"/>
      <c r="J24" s="416"/>
    </row>
    <row r="25" spans="2:19">
      <c r="K25" s="14"/>
      <c r="L25" s="14"/>
      <c r="M25" s="14"/>
    </row>
    <row r="26" spans="2:19" ht="18.75">
      <c r="B26" s="381" t="s">
        <v>538</v>
      </c>
      <c r="C26" s="381"/>
      <c r="D26" s="381"/>
      <c r="E26" s="381"/>
      <c r="F26" s="381"/>
      <c r="G26" s="381"/>
      <c r="H26" s="381"/>
      <c r="I26" s="381"/>
    </row>
    <row r="27" spans="2:19">
      <c r="B27" s="324"/>
      <c r="C27" s="324"/>
      <c r="D27" s="324"/>
      <c r="E27" s="324"/>
      <c r="F27" s="324"/>
      <c r="G27" s="324"/>
      <c r="H27" s="324"/>
      <c r="I27" s="324"/>
      <c r="K27" s="14"/>
    </row>
    <row r="28" spans="2:19">
      <c r="B28" s="315" t="s">
        <v>0</v>
      </c>
      <c r="C28" s="316" t="s">
        <v>2</v>
      </c>
      <c r="D28" s="316" t="s">
        <v>3</v>
      </c>
      <c r="E28" s="316" t="s">
        <v>4</v>
      </c>
      <c r="F28" s="316" t="s">
        <v>5</v>
      </c>
      <c r="G28" s="316" t="s">
        <v>6</v>
      </c>
      <c r="H28" s="316" t="s">
        <v>169</v>
      </c>
      <c r="I28" s="316" t="s">
        <v>168</v>
      </c>
    </row>
    <row r="29" spans="2:19">
      <c r="B29" s="68"/>
      <c r="C29" s="68"/>
      <c r="D29" s="68"/>
      <c r="E29" s="68"/>
      <c r="F29" s="68"/>
      <c r="G29" s="68"/>
      <c r="H29" s="68"/>
      <c r="I29" s="68"/>
    </row>
    <row r="30" spans="2:19">
      <c r="B30" s="68" t="s">
        <v>37</v>
      </c>
      <c r="C30" s="68"/>
      <c r="D30" s="68"/>
      <c r="E30" s="68"/>
      <c r="F30" s="68"/>
      <c r="G30" s="68"/>
      <c r="H30" s="68"/>
      <c r="I30" s="68"/>
    </row>
    <row r="31" spans="2:19">
      <c r="B31" s="68"/>
      <c r="C31" s="69"/>
      <c r="D31" s="69"/>
      <c r="E31" s="69"/>
      <c r="F31" s="69"/>
      <c r="G31" s="69"/>
      <c r="H31" s="69"/>
      <c r="I31" s="69"/>
    </row>
    <row r="32" spans="2:19" ht="30">
      <c r="B32" s="331" t="str">
        <f>'6.Cons Profit &amp; Loss'!A8</f>
        <v>Facility 1 - Cashew Nut Trading</v>
      </c>
      <c r="C32" s="69">
        <f>'6.Cons Profit &amp; Loss'!B8</f>
        <v>40261914</v>
      </c>
      <c r="D32" s="69">
        <f>'6.Cons Profit &amp; Loss'!C8</f>
        <v>47799182.970000014</v>
      </c>
      <c r="E32" s="69">
        <f>'6.Cons Profit &amp; Loss'!D8</f>
        <v>54764168.728500016</v>
      </c>
      <c r="F32" s="69">
        <f>'6.Cons Profit &amp; Loss'!E8</f>
        <v>62306155.105425023</v>
      </c>
      <c r="G32" s="69">
        <f>'6.Cons Profit &amp; Loss'!F8</f>
        <v>70465429.698221281</v>
      </c>
      <c r="H32" s="69">
        <f>'6.Cons Profit &amp; Loss'!G8</f>
        <v>79284866.362533599</v>
      </c>
      <c r="I32" s="69">
        <f>'6.Cons Profit &amp; Loss'!H8</f>
        <v>88810083.119031608</v>
      </c>
    </row>
    <row r="33" spans="2:9" ht="30">
      <c r="B33" s="331" t="str">
        <f>'6.Cons Profit &amp; Loss'!A9</f>
        <v>Facility 2 - Cashew Nut Processing</v>
      </c>
      <c r="C33" s="69">
        <f>'6.Cons Profit &amp; Loss'!B9</f>
        <v>34013952.294</v>
      </c>
      <c r="D33" s="69">
        <f>'6.Cons Profit &amp; Loss'!C9</f>
        <v>43962156.691739991</v>
      </c>
      <c r="E33" s="69">
        <f>'6.Cons Profit &amp; Loss'!D9</f>
        <v>53892302.135426998</v>
      </c>
      <c r="F33" s="69">
        <f>'6.Cons Profit &amp; Loss'!E9</f>
        <v>64705556.731753357</v>
      </c>
      <c r="G33" s="69">
        <f>'6.Cons Profit &amp; Loss'!F9</f>
        <v>76465406.032373771</v>
      </c>
      <c r="H33" s="69">
        <f>'6.Cons Profit &amp; Loss'!G9</f>
        <v>89239476.371226862</v>
      </c>
      <c r="I33" s="69">
        <f>'6.Cons Profit &amp; Loss'!H9</f>
        <v>103099790.22888434</v>
      </c>
    </row>
    <row r="34" spans="2:9">
      <c r="B34" s="331" t="str">
        <f>'6.Cons Profit &amp; Loss'!A10</f>
        <v>Faclitiy 3 - Warehouse</v>
      </c>
      <c r="C34" s="69">
        <f>'6.Cons Profit &amp; Loss'!B10</f>
        <v>0</v>
      </c>
      <c r="D34" s="69">
        <f>'6.Cons Profit &amp; Loss'!C10</f>
        <v>0</v>
      </c>
      <c r="E34" s="69">
        <f>'6.Cons Profit &amp; Loss'!D10</f>
        <v>0</v>
      </c>
      <c r="F34" s="69">
        <f>'6.Cons Profit &amp; Loss'!E10</f>
        <v>0</v>
      </c>
      <c r="G34" s="69">
        <f>'6.Cons Profit &amp; Loss'!F10</f>
        <v>0</v>
      </c>
      <c r="H34" s="69">
        <f>'6.Cons Profit &amp; Loss'!G10</f>
        <v>0</v>
      </c>
      <c r="I34" s="69">
        <f>'6.Cons Profit &amp; Loss'!H10</f>
        <v>0</v>
      </c>
    </row>
    <row r="35" spans="2:9">
      <c r="B35" s="331" t="str">
        <f>'6.Cons Profit &amp; Loss'!A11</f>
        <v xml:space="preserve">Faclitiy 4 - Custom Hiring </v>
      </c>
      <c r="C35" s="69">
        <f>'6.Cons Profit &amp; Loss'!B11</f>
        <v>0</v>
      </c>
      <c r="D35" s="69">
        <f>'6.Cons Profit &amp; Loss'!C11</f>
        <v>0</v>
      </c>
      <c r="E35" s="69">
        <f>'6.Cons Profit &amp; Loss'!D11</f>
        <v>0</v>
      </c>
      <c r="F35" s="69">
        <f>'6.Cons Profit &amp; Loss'!E11</f>
        <v>0</v>
      </c>
      <c r="G35" s="69">
        <f>'6.Cons Profit &amp; Loss'!F11</f>
        <v>0</v>
      </c>
      <c r="H35" s="69">
        <f>'6.Cons Profit &amp; Loss'!G11</f>
        <v>0</v>
      </c>
      <c r="I35" s="69">
        <f>'6.Cons Profit &amp; Loss'!H11</f>
        <v>0</v>
      </c>
    </row>
    <row r="36" spans="2:9" ht="30">
      <c r="B36" s="331" t="str">
        <f>'6.Cons Profit &amp; Loss'!A12</f>
        <v>Faclitiy 5 - Agri Input Centre</v>
      </c>
      <c r="C36" s="69">
        <f>'6.Cons Profit &amp; Loss'!B12</f>
        <v>0</v>
      </c>
      <c r="D36" s="69">
        <f>'6.Cons Profit &amp; Loss'!C12</f>
        <v>0</v>
      </c>
      <c r="E36" s="69">
        <f>'6.Cons Profit &amp; Loss'!D12</f>
        <v>0</v>
      </c>
      <c r="F36" s="69">
        <f>'6.Cons Profit &amp; Loss'!E12</f>
        <v>0</v>
      </c>
      <c r="G36" s="69">
        <f>'6.Cons Profit &amp; Loss'!F12</f>
        <v>0</v>
      </c>
      <c r="H36" s="69">
        <f>'6.Cons Profit &amp; Loss'!G12</f>
        <v>0</v>
      </c>
      <c r="I36" s="69">
        <f>'6.Cons Profit &amp; Loss'!H12</f>
        <v>0</v>
      </c>
    </row>
    <row r="37" spans="2:9" ht="30">
      <c r="B37" s="331" t="str">
        <f>'6.Cons Profit &amp; Loss'!A13</f>
        <v>Facility 3 - Cashew Apple Processing</v>
      </c>
      <c r="C37" s="69">
        <f>'6.Cons Profit &amp; Loss'!B13</f>
        <v>2933279.9999999995</v>
      </c>
      <c r="D37" s="69">
        <f>'6.Cons Profit &amp; Loss'!C13</f>
        <v>3945185.9999999995</v>
      </c>
      <c r="E37" s="69">
        <f>'6.Cons Profit &amp; Loss'!D13</f>
        <v>4975935.3</v>
      </c>
      <c r="F37" s="69">
        <f>'6.Cons Profit &amp; Loss'!E13</f>
        <v>6099896.5650000004</v>
      </c>
      <c r="G37" s="69">
        <f>'6.Cons Profit &amp; Loss'!F13</f>
        <v>7323814.1182500003</v>
      </c>
      <c r="H37" s="69">
        <f>'6.Cons Profit &amp; Loss'!G13</f>
        <v>8654873.6854125019</v>
      </c>
      <c r="I37" s="69">
        <f>'6.Cons Profit &amp; Loss'!H13</f>
        <v>10100729.673995629</v>
      </c>
    </row>
    <row r="38" spans="2:9">
      <c r="B38" s="80"/>
      <c r="C38" s="80"/>
      <c r="D38" s="80"/>
      <c r="E38" s="80"/>
      <c r="F38" s="80"/>
      <c r="G38" s="80"/>
      <c r="H38" s="80"/>
      <c r="I38" s="80"/>
    </row>
    <row r="39" spans="2:9">
      <c r="B39" s="68" t="s">
        <v>8</v>
      </c>
      <c r="C39" s="69">
        <f>SUM(C32:C38)</f>
        <v>77209146.294</v>
      </c>
      <c r="D39" s="69">
        <f t="shared" ref="D39:I39" si="4">SUM(D32:D38)</f>
        <v>95706525.661740005</v>
      </c>
      <c r="E39" s="69">
        <f t="shared" si="4"/>
        <v>113632406.163927</v>
      </c>
      <c r="F39" s="69">
        <f t="shared" si="4"/>
        <v>133111608.40217838</v>
      </c>
      <c r="G39" s="69">
        <f t="shared" si="4"/>
        <v>154254649.84884506</v>
      </c>
      <c r="H39" s="69">
        <f t="shared" si="4"/>
        <v>177179216.41917297</v>
      </c>
      <c r="I39" s="69">
        <f t="shared" si="4"/>
        <v>202010603.02191156</v>
      </c>
    </row>
    <row r="40" spans="2:9">
      <c r="B40" s="68"/>
      <c r="C40" s="69"/>
      <c r="D40" s="69"/>
      <c r="E40" s="69"/>
      <c r="F40" s="69"/>
      <c r="G40" s="69"/>
      <c r="H40" s="69"/>
      <c r="I40" s="69"/>
    </row>
    <row r="41" spans="2:9">
      <c r="B41" s="68" t="s">
        <v>38</v>
      </c>
      <c r="C41" s="69">
        <f>'6.Cons Profit &amp; Loss'!B25</f>
        <v>71299306.706880003</v>
      </c>
      <c r="D41" s="69">
        <f>'6.Cons Profit &amp; Loss'!C25</f>
        <v>88906120.184548825</v>
      </c>
      <c r="E41" s="69">
        <f>'6.Cons Profit &amp; Loss'!D25</f>
        <v>105356385.07335649</v>
      </c>
      <c r="F41" s="69">
        <f>'6.Cons Profit &amp; Loss'!E25</f>
        <v>123229411.15058358</v>
      </c>
      <c r="G41" s="69">
        <f>'6.Cons Profit &amp; Loss'!F25</f>
        <v>142626348.87284997</v>
      </c>
      <c r="H41" s="69">
        <f>'6.Cons Profit &amp; Loss'!G25</f>
        <v>163654906.83946657</v>
      </c>
      <c r="I41" s="69">
        <f>'6.Cons Profit &amp; Loss'!H25</f>
        <v>186429754.73056272</v>
      </c>
    </row>
    <row r="42" spans="2:9">
      <c r="B42" s="68"/>
      <c r="C42" s="69"/>
      <c r="D42" s="69"/>
      <c r="E42" s="69"/>
      <c r="F42" s="69"/>
      <c r="G42" s="69"/>
      <c r="H42" s="69"/>
      <c r="I42" s="69"/>
    </row>
    <row r="43" spans="2:9">
      <c r="B43" s="70" t="s">
        <v>39</v>
      </c>
      <c r="C43" s="84">
        <f>C39-C41</f>
        <v>5909839.5871199965</v>
      </c>
      <c r="D43" s="84">
        <f t="shared" ref="D43:I43" si="5">D39-D41</f>
        <v>6800405.47719118</v>
      </c>
      <c r="E43" s="84">
        <f t="shared" si="5"/>
        <v>8276021.0905705094</v>
      </c>
      <c r="F43" s="84">
        <f t="shared" si="5"/>
        <v>9882197.2515947968</v>
      </c>
      <c r="G43" s="84">
        <f t="shared" si="5"/>
        <v>11628300.975995094</v>
      </c>
      <c r="H43" s="84">
        <f t="shared" si="5"/>
        <v>13524309.579706401</v>
      </c>
      <c r="I43" s="84">
        <f t="shared" si="5"/>
        <v>15580848.291348845</v>
      </c>
    </row>
    <row r="44" spans="2:9">
      <c r="B44" s="68"/>
      <c r="C44" s="69"/>
      <c r="D44" s="69"/>
      <c r="E44" s="69"/>
      <c r="F44" s="69"/>
      <c r="G44" s="69"/>
      <c r="H44" s="69"/>
      <c r="I44" s="69"/>
    </row>
    <row r="45" spans="2:9">
      <c r="B45" s="70" t="s">
        <v>41</v>
      </c>
      <c r="C45" s="84">
        <f>'6.Cons Profit &amp; Loss'!B36+'3.Other Exp &amp; Taxes'!K66+'3.Other Exp &amp; Taxes'!C87</f>
        <v>5068998.75</v>
      </c>
      <c r="D45" s="84">
        <f>'6.Cons Profit &amp; Loss'!C36+'3.Other Exp &amp; Taxes'!L66+'3.Other Exp &amp; Taxes'!D87</f>
        <v>4827513.9375</v>
      </c>
      <c r="E45" s="84">
        <f>'6.Cons Profit &amp; Loss'!D36+'3.Other Exp &amp; Taxes'!M66+'3.Other Exp &amp; Taxes'!E87</f>
        <v>4647063.3468749998</v>
      </c>
      <c r="F45" s="84">
        <f>'6.Cons Profit &amp; Loss'!E36+'3.Other Exp &amp; Taxes'!N66+'3.Other Exp &amp; Taxes'!F87</f>
        <v>4517812.4948437512</v>
      </c>
      <c r="G45" s="84">
        <f>'6.Cons Profit &amp; Loss'!F36+'3.Other Exp &amp; Taxes'!O66+'3.Other Exp &amp; Taxes'!G87</f>
        <v>4432335.5356171876</v>
      </c>
      <c r="H45" s="84">
        <f>'6.Cons Profit &amp; Loss'!G36+'3.Other Exp &amp; Taxes'!P66+'3.Other Exp &amp; Taxes'!H87</f>
        <v>4258893.7192746103</v>
      </c>
      <c r="I45" s="84">
        <f>'6.Cons Profit &amp; Loss'!H36+'3.Other Exp &amp; Taxes'!Q66+'3.Other Exp &amp; Taxes'!I87</f>
        <v>4244968.8314084187</v>
      </c>
    </row>
    <row r="46" spans="2:9">
      <c r="B46" s="68"/>
      <c r="C46" s="68"/>
      <c r="D46" s="68"/>
      <c r="E46" s="68"/>
      <c r="F46" s="68"/>
      <c r="G46" s="68"/>
      <c r="H46" s="68"/>
      <c r="I46" s="68"/>
    </row>
    <row r="47" spans="2:9">
      <c r="B47" s="68" t="s">
        <v>40</v>
      </c>
      <c r="C47" s="83">
        <f>C45/C43</f>
        <v>0.85772188487949164</v>
      </c>
      <c r="D47" s="83">
        <f>D45/D43</f>
        <v>0.70988619041786061</v>
      </c>
      <c r="E47" s="83">
        <f>E45/E43</f>
        <v>0.5615093649495102</v>
      </c>
      <c r="F47" s="83">
        <f>F45/F43</f>
        <v>0.45716680003676946</v>
      </c>
      <c r="G47" s="83">
        <f>G45/G43</f>
        <v>0.38116794059313464</v>
      </c>
      <c r="H47" s="83">
        <f t="shared" ref="H47:I47" si="6">H45/H43</f>
        <v>0.31490655357854258</v>
      </c>
      <c r="I47" s="83">
        <f t="shared" si="6"/>
        <v>0.27244786368694751</v>
      </c>
    </row>
    <row r="48" spans="2:9">
      <c r="B48" s="67"/>
      <c r="C48" s="67"/>
      <c r="D48" s="67"/>
      <c r="E48" s="67"/>
      <c r="F48" s="67"/>
      <c r="G48" s="67"/>
      <c r="H48" s="67"/>
      <c r="I48" s="67"/>
    </row>
    <row r="49" spans="2:10">
      <c r="B49" s="85" t="s">
        <v>134</v>
      </c>
      <c r="C49" s="86">
        <f>AVERAGE(C47:I47)</f>
        <v>0.50782951402032239</v>
      </c>
      <c r="D49" s="67"/>
      <c r="E49" s="67"/>
      <c r="F49" s="67"/>
      <c r="G49" s="67"/>
      <c r="H49" s="67"/>
      <c r="I49" s="67"/>
    </row>
    <row r="51" spans="2:10" ht="41.65" customHeight="1">
      <c r="B51" s="417" t="s">
        <v>418</v>
      </c>
      <c r="C51" s="417"/>
      <c r="D51" s="417"/>
      <c r="E51" s="417"/>
      <c r="F51" s="417"/>
      <c r="G51" s="417"/>
      <c r="H51" s="417"/>
      <c r="I51" s="417"/>
      <c r="J51" s="417"/>
    </row>
    <row r="54" spans="2:10" ht="18.75">
      <c r="B54" s="381" t="s">
        <v>539</v>
      </c>
      <c r="C54" s="381"/>
      <c r="D54" s="381"/>
      <c r="E54" s="381"/>
      <c r="F54" s="381"/>
      <c r="G54" s="381"/>
      <c r="H54" s="381"/>
      <c r="I54" s="381"/>
    </row>
    <row r="56" spans="2:10">
      <c r="B56" s="315" t="s">
        <v>29</v>
      </c>
      <c r="C56" s="316" t="s">
        <v>2</v>
      </c>
      <c r="D56" s="316" t="s">
        <v>3</v>
      </c>
      <c r="E56" s="316" t="s">
        <v>4</v>
      </c>
      <c r="F56" s="316" t="s">
        <v>5</v>
      </c>
      <c r="G56" s="316" t="s">
        <v>6</v>
      </c>
      <c r="H56" s="316" t="s">
        <v>169</v>
      </c>
      <c r="I56" s="316" t="s">
        <v>168</v>
      </c>
    </row>
    <row r="57" spans="2:10">
      <c r="B57" s="68"/>
      <c r="C57" s="68"/>
      <c r="D57" s="68"/>
      <c r="E57" s="68"/>
      <c r="F57" s="68"/>
      <c r="G57" s="68"/>
      <c r="H57" s="68"/>
      <c r="I57" s="68"/>
    </row>
    <row r="58" spans="2:10">
      <c r="B58" s="68" t="s">
        <v>372</v>
      </c>
      <c r="C58" s="235">
        <f>'6.Cons Profit &amp; Loss'!B51</f>
        <v>1243094.844445162</v>
      </c>
      <c r="D58" s="235">
        <f>'6.Cons Profit &amp; Loss'!C51</f>
        <v>1623328.9164401703</v>
      </c>
      <c r="E58" s="235">
        <f>'6.Cons Profit &amp; Loss'!D51</f>
        <v>2545487.4445098671</v>
      </c>
      <c r="F58" s="235">
        <f>'6.Cons Profit &amp; Loss'!E51</f>
        <v>3574551.8624497075</v>
      </c>
      <c r="G58" s="235">
        <f>'6.Cons Profit &amp; Loss'!F51</f>
        <v>4715983.4938022764</v>
      </c>
      <c r="H58" s="235">
        <f>'6.Cons Profit &amp; Loss'!G51</f>
        <v>6069485.2745981207</v>
      </c>
      <c r="I58" s="235">
        <f>'6.Cons Profit &amp; Loss'!H51</f>
        <v>7455965.5882171057</v>
      </c>
    </row>
    <row r="59" spans="2:10">
      <c r="B59" s="68"/>
      <c r="C59" s="235"/>
      <c r="D59" s="235"/>
      <c r="E59" s="235"/>
      <c r="F59" s="235"/>
      <c r="G59" s="235"/>
      <c r="H59" s="235"/>
      <c r="I59" s="235"/>
    </row>
    <row r="60" spans="2:10">
      <c r="B60" s="68" t="s">
        <v>42</v>
      </c>
      <c r="C60" s="235">
        <f>'6.Cons Profit &amp; Loss'!B42</f>
        <v>1089128.9889999998</v>
      </c>
      <c r="D60" s="235">
        <f>'6.Cons Profit &amp; Loss'!C42</f>
        <v>1089128.9889999998</v>
      </c>
      <c r="E60" s="235">
        <f>'6.Cons Profit &amp; Loss'!D42</f>
        <v>1089128.9889999998</v>
      </c>
      <c r="F60" s="235">
        <f>'6.Cons Profit &amp; Loss'!E42</f>
        <v>1089128.9889999998</v>
      </c>
      <c r="G60" s="235">
        <f>'6.Cons Profit &amp; Loss'!F42</f>
        <v>1089128.9889999998</v>
      </c>
      <c r="H60" s="235">
        <f>'6.Cons Profit &amp; Loss'!G42</f>
        <v>1089128.9889999998</v>
      </c>
      <c r="I60" s="235">
        <f>'6.Cons Profit &amp; Loss'!H42</f>
        <v>1089128.9889999998</v>
      </c>
    </row>
    <row r="61" spans="2:10" ht="30">
      <c r="B61" s="79" t="s">
        <v>48</v>
      </c>
      <c r="C61" s="235">
        <f>'6.Cons Profit &amp; Loss'!B43</f>
        <v>126000</v>
      </c>
      <c r="D61" s="235">
        <f>'6.Cons Profit &amp; Loss'!C43</f>
        <v>126000</v>
      </c>
      <c r="E61" s="235">
        <f>'6.Cons Profit &amp; Loss'!D43</f>
        <v>126000</v>
      </c>
      <c r="F61" s="235">
        <f>'6.Cons Profit &amp; Loss'!E43</f>
        <v>126000</v>
      </c>
      <c r="G61" s="235">
        <f>'6.Cons Profit &amp; Loss'!F43</f>
        <v>126000</v>
      </c>
      <c r="H61" s="235">
        <f>'6.Cons Profit &amp; Loss'!G43</f>
        <v>0</v>
      </c>
      <c r="I61" s="235">
        <f>'6.Cons Profit &amp; Loss'!H43</f>
        <v>0</v>
      </c>
    </row>
    <row r="62" spans="2:10">
      <c r="B62" s="68"/>
      <c r="C62" s="235"/>
      <c r="D62" s="235"/>
      <c r="E62" s="235"/>
      <c r="F62" s="235"/>
      <c r="G62" s="235"/>
      <c r="H62" s="235"/>
      <c r="I62" s="235"/>
    </row>
    <row r="63" spans="2:10">
      <c r="B63" s="68" t="s">
        <v>32</v>
      </c>
      <c r="C63" s="235">
        <f>SUM(C58:C61)</f>
        <v>2458223.8334451616</v>
      </c>
      <c r="D63" s="235">
        <f t="shared" ref="D63:I63" si="7">SUM(D58:D61)</f>
        <v>2838457.9054401703</v>
      </c>
      <c r="E63" s="235">
        <f t="shared" si="7"/>
        <v>3760616.4335098667</v>
      </c>
      <c r="F63" s="235">
        <f t="shared" si="7"/>
        <v>4789680.8514497075</v>
      </c>
      <c r="G63" s="235">
        <f t="shared" si="7"/>
        <v>5931112.4828022765</v>
      </c>
      <c r="H63" s="235">
        <f t="shared" si="7"/>
        <v>7158614.2635981208</v>
      </c>
      <c r="I63" s="235">
        <f t="shared" si="7"/>
        <v>8545094.5772171058</v>
      </c>
    </row>
    <row r="64" spans="2:10">
      <c r="B64" s="68"/>
      <c r="C64" s="68"/>
      <c r="D64" s="68"/>
      <c r="E64" s="68"/>
      <c r="F64" s="68"/>
      <c r="G64" s="68"/>
      <c r="H64" s="68"/>
      <c r="I64" s="68"/>
    </row>
    <row r="65" spans="2:10" ht="16.5">
      <c r="B65" s="10" t="s">
        <v>43</v>
      </c>
      <c r="C65" s="80">
        <f>1/1.1</f>
        <v>0.90909090909090906</v>
      </c>
      <c r="D65" s="80">
        <f t="shared" ref="D65:I65" si="8">C65/1.1</f>
        <v>0.82644628099173545</v>
      </c>
      <c r="E65" s="80">
        <f t="shared" si="8"/>
        <v>0.75131480090157765</v>
      </c>
      <c r="F65" s="80">
        <f t="shared" si="8"/>
        <v>0.68301345536507052</v>
      </c>
      <c r="G65" s="80">
        <f t="shared" si="8"/>
        <v>0.62092132305915493</v>
      </c>
      <c r="H65" s="80">
        <f t="shared" si="8"/>
        <v>0.56447393005377711</v>
      </c>
      <c r="I65" s="80">
        <f t="shared" si="8"/>
        <v>0.51315811823070645</v>
      </c>
    </row>
    <row r="66" spans="2:10">
      <c r="B66" s="68"/>
      <c r="C66" s="68"/>
      <c r="D66" s="68"/>
      <c r="E66" s="68"/>
      <c r="F66" s="68"/>
      <c r="G66" s="68"/>
      <c r="H66" s="68"/>
      <c r="I66" s="68"/>
    </row>
    <row r="67" spans="2:10" ht="16.5">
      <c r="B67" s="10" t="s">
        <v>44</v>
      </c>
      <c r="C67" s="69">
        <f>C63*C65</f>
        <v>2234748.9394956012</v>
      </c>
      <c r="D67" s="69">
        <f t="shared" ref="D67:I67" si="9">D63*D65</f>
        <v>2345832.9797026198</v>
      </c>
      <c r="E67" s="69">
        <f t="shared" si="9"/>
        <v>2825406.7870096667</v>
      </c>
      <c r="F67" s="69">
        <f t="shared" si="9"/>
        <v>3271416.4684445779</v>
      </c>
      <c r="G67" s="69">
        <f t="shared" si="9"/>
        <v>3682754.2100342587</v>
      </c>
      <c r="H67" s="69">
        <f t="shared" si="9"/>
        <v>4040851.1271122568</v>
      </c>
      <c r="I67" s="69">
        <f t="shared" si="9"/>
        <v>4384984.6533481441</v>
      </c>
    </row>
    <row r="68" spans="2:10">
      <c r="B68" s="67"/>
      <c r="C68" s="82"/>
      <c r="D68" s="82"/>
      <c r="E68" s="82"/>
      <c r="F68" s="82"/>
      <c r="G68" s="82"/>
      <c r="H68" s="82"/>
      <c r="I68" s="82"/>
    </row>
    <row r="69" spans="2:10" ht="16.5">
      <c r="B69" s="11" t="s">
        <v>45</v>
      </c>
      <c r="C69" s="82">
        <f>SUM(C67:I67)</f>
        <v>22785995.165147126</v>
      </c>
      <c r="D69" s="82"/>
      <c r="E69" s="82"/>
      <c r="F69" s="82"/>
      <c r="G69" s="82"/>
      <c r="H69" s="82"/>
      <c r="I69" s="82"/>
    </row>
    <row r="70" spans="2:10">
      <c r="B70" s="67"/>
      <c r="C70" s="82"/>
      <c r="D70" s="82"/>
      <c r="E70" s="82"/>
      <c r="F70" s="82"/>
      <c r="G70" s="82"/>
      <c r="H70" s="82"/>
      <c r="I70" s="82"/>
    </row>
    <row r="71" spans="2:10" ht="16.5">
      <c r="B71" s="11" t="s">
        <v>46</v>
      </c>
      <c r="C71" s="82">
        <f>'1.Project Cost and MOF'!D12</f>
        <v>21585137.194371399</v>
      </c>
      <c r="D71" s="82"/>
      <c r="E71" s="82"/>
      <c r="F71" s="82"/>
      <c r="G71" s="82"/>
      <c r="H71" s="82"/>
      <c r="I71" s="82"/>
    </row>
    <row r="72" spans="2:10">
      <c r="B72" s="67"/>
      <c r="C72" s="81"/>
      <c r="D72" s="67"/>
      <c r="E72" s="67"/>
      <c r="F72" s="67"/>
      <c r="G72" s="67"/>
      <c r="H72" s="67"/>
      <c r="I72" s="67"/>
    </row>
    <row r="73" spans="2:10" ht="16.5">
      <c r="B73" s="11" t="s">
        <v>47</v>
      </c>
      <c r="C73" s="81">
        <f>C69-C71</f>
        <v>1200857.9707757272</v>
      </c>
      <c r="D73" s="67"/>
      <c r="E73" s="67"/>
      <c r="F73" s="67"/>
      <c r="G73" s="67"/>
      <c r="H73" s="67"/>
      <c r="I73" s="67"/>
    </row>
    <row r="75" spans="2:10" ht="35.1" customHeight="1">
      <c r="B75" s="388" t="s">
        <v>419</v>
      </c>
      <c r="C75" s="388"/>
      <c r="D75" s="388"/>
      <c r="E75" s="388"/>
      <c r="F75" s="388"/>
      <c r="G75" s="388"/>
      <c r="H75" s="388"/>
      <c r="I75" s="388"/>
      <c r="J75" s="388"/>
    </row>
    <row r="76" spans="2:10" ht="18.75">
      <c r="B76" s="381" t="s">
        <v>540</v>
      </c>
      <c r="C76" s="381"/>
      <c r="D76" s="381"/>
      <c r="E76" s="381"/>
      <c r="F76" s="381"/>
      <c r="G76" s="381"/>
      <c r="H76" s="381"/>
      <c r="I76" s="381"/>
    </row>
    <row r="77" spans="2:10">
      <c r="B77" s="67"/>
      <c r="C77" s="67"/>
      <c r="D77" s="67"/>
      <c r="E77" s="67"/>
      <c r="F77" s="67"/>
      <c r="G77" s="67"/>
      <c r="H77" s="67"/>
      <c r="I77" s="67"/>
    </row>
    <row r="78" spans="2:10" ht="15.75">
      <c r="B78" s="327" t="s">
        <v>0</v>
      </c>
      <c r="C78" s="327" t="s">
        <v>2</v>
      </c>
      <c r="D78" s="327" t="s">
        <v>3</v>
      </c>
      <c r="E78" s="327" t="s">
        <v>4</v>
      </c>
      <c r="F78" s="327" t="s">
        <v>5</v>
      </c>
      <c r="G78" s="327" t="s">
        <v>6</v>
      </c>
      <c r="H78" s="327" t="s">
        <v>169</v>
      </c>
      <c r="I78" s="327" t="s">
        <v>168</v>
      </c>
    </row>
    <row r="79" spans="2:10" ht="15.75">
      <c r="B79" s="51"/>
      <c r="C79" s="52"/>
      <c r="D79" s="52"/>
      <c r="E79" s="52"/>
      <c r="F79" s="52"/>
      <c r="G79" s="52"/>
      <c r="H79" s="52"/>
      <c r="I79" s="52"/>
    </row>
    <row r="80" spans="2:10">
      <c r="B80" s="70" t="s">
        <v>27</v>
      </c>
      <c r="C80" s="69">
        <f>'6.Cons Profit &amp; Loss'!B51</f>
        <v>1243094.844445162</v>
      </c>
      <c r="D80" s="69">
        <f>'6.Cons Profit &amp; Loss'!C51</f>
        <v>1623328.9164401703</v>
      </c>
      <c r="E80" s="69">
        <f>'6.Cons Profit &amp; Loss'!D51</f>
        <v>2545487.4445098671</v>
      </c>
      <c r="F80" s="69">
        <f>'6.Cons Profit &amp; Loss'!E51</f>
        <v>3574551.8624497075</v>
      </c>
      <c r="G80" s="69">
        <f>'6.Cons Profit &amp; Loss'!F51</f>
        <v>4715983.4938022764</v>
      </c>
      <c r="H80" s="69">
        <f>'6.Cons Profit &amp; Loss'!G51</f>
        <v>6069485.2745981207</v>
      </c>
      <c r="I80" s="69">
        <f>'6.Cons Profit &amp; Loss'!H51</f>
        <v>7455965.5882171057</v>
      </c>
    </row>
    <row r="81" spans="2:10">
      <c r="B81" s="68"/>
      <c r="C81" s="68"/>
      <c r="D81" s="68"/>
      <c r="E81" s="68"/>
      <c r="F81" s="68"/>
      <c r="G81" s="68"/>
      <c r="H81" s="68"/>
      <c r="I81" s="68"/>
    </row>
    <row r="82" spans="2:10">
      <c r="B82" s="70" t="s">
        <v>124</v>
      </c>
      <c r="C82" s="425">
        <f>AVERAGE(C80:I80)</f>
        <v>3889699.6320660589</v>
      </c>
      <c r="D82" s="425"/>
      <c r="E82" s="425"/>
      <c r="F82" s="425"/>
      <c r="G82" s="425"/>
      <c r="H82" s="425"/>
      <c r="I82" s="425"/>
    </row>
    <row r="83" spans="2:10">
      <c r="B83" s="70" t="s">
        <v>125</v>
      </c>
      <c r="C83" s="425">
        <f>'1.Project Cost and MOF'!D12</f>
        <v>21585137.194371399</v>
      </c>
      <c r="D83" s="425"/>
      <c r="E83" s="425"/>
      <c r="F83" s="425"/>
      <c r="G83" s="425"/>
      <c r="H83" s="425"/>
      <c r="I83" s="425"/>
    </row>
    <row r="84" spans="2:10">
      <c r="B84" s="68"/>
      <c r="C84" s="68"/>
      <c r="D84" s="68"/>
      <c r="E84" s="68"/>
      <c r="F84" s="68"/>
      <c r="G84" s="68"/>
      <c r="H84" s="68"/>
      <c r="I84" s="68"/>
    </row>
    <row r="85" spans="2:10">
      <c r="B85" s="192" t="s">
        <v>126</v>
      </c>
      <c r="C85" s="426">
        <f>C82/C83</f>
        <v>0.18020268284791574</v>
      </c>
      <c r="D85" s="426"/>
      <c r="E85" s="426"/>
      <c r="F85" s="426"/>
      <c r="G85" s="426"/>
      <c r="H85" s="426"/>
      <c r="I85" s="426"/>
    </row>
    <row r="88" spans="2:10">
      <c r="B88" s="424" t="s">
        <v>420</v>
      </c>
      <c r="C88" s="424"/>
      <c r="D88" s="424"/>
      <c r="E88" s="424"/>
      <c r="F88" s="424"/>
      <c r="G88" s="424"/>
      <c r="H88" s="424"/>
      <c r="I88" s="424"/>
    </row>
    <row r="90" spans="2:10" ht="18.75">
      <c r="B90" s="381" t="s">
        <v>541</v>
      </c>
      <c r="C90" s="381"/>
      <c r="D90" s="381"/>
      <c r="E90" s="381"/>
      <c r="F90" s="381"/>
      <c r="G90" s="381"/>
      <c r="H90" s="381"/>
      <c r="I90" s="381"/>
      <c r="J90" s="381"/>
    </row>
    <row r="92" spans="2:10">
      <c r="B92" s="326" t="s">
        <v>0</v>
      </c>
      <c r="C92" s="326" t="s">
        <v>334</v>
      </c>
      <c r="D92" s="326" t="s">
        <v>2</v>
      </c>
      <c r="E92" s="326" t="s">
        <v>3</v>
      </c>
      <c r="F92" s="326" t="s">
        <v>4</v>
      </c>
      <c r="G92" s="326" t="s">
        <v>5</v>
      </c>
      <c r="H92" s="326" t="s">
        <v>6</v>
      </c>
      <c r="I92" s="326" t="s">
        <v>169</v>
      </c>
      <c r="J92" s="326" t="s">
        <v>168</v>
      </c>
    </row>
    <row r="93" spans="2:10">
      <c r="B93" s="75"/>
      <c r="C93" s="75"/>
      <c r="D93" s="76"/>
      <c r="E93" s="76"/>
      <c r="F93" s="76"/>
      <c r="G93" s="76"/>
      <c r="H93" s="76"/>
      <c r="I93" s="76"/>
      <c r="J93" s="76"/>
    </row>
    <row r="94" spans="2:10">
      <c r="B94" s="332" t="s">
        <v>282</v>
      </c>
      <c r="C94" s="77">
        <f>'1.Project Cost and MOF'!D12</f>
        <v>21585137.194371399</v>
      </c>
      <c r="D94" s="76"/>
      <c r="E94" s="76"/>
      <c r="F94" s="76"/>
      <c r="G94" s="76"/>
      <c r="H94" s="76"/>
      <c r="I94" s="76"/>
      <c r="J94" s="76"/>
    </row>
    <row r="95" spans="2:10">
      <c r="B95" s="332" t="str">
        <f>B58</f>
        <v>Profit after Tax &amp; Dividend</v>
      </c>
      <c r="C95" s="9"/>
      <c r="D95" s="18">
        <f>'6.Cons Profit &amp; Loss'!B51</f>
        <v>1243094.844445162</v>
      </c>
      <c r="E95" s="18">
        <f>'6.Cons Profit &amp; Loss'!C51</f>
        <v>1623328.9164401703</v>
      </c>
      <c r="F95" s="18">
        <f>'6.Cons Profit &amp; Loss'!D51</f>
        <v>2545487.4445098671</v>
      </c>
      <c r="G95" s="18">
        <f>'6.Cons Profit &amp; Loss'!E51</f>
        <v>3574551.8624497075</v>
      </c>
      <c r="H95" s="18">
        <f>'6.Cons Profit &amp; Loss'!F51</f>
        <v>4715983.4938022764</v>
      </c>
      <c r="I95" s="18">
        <f>'6.Cons Profit &amp; Loss'!G51</f>
        <v>6069485.2745981207</v>
      </c>
      <c r="J95" s="18">
        <f>'6.Cons Profit &amp; Loss'!H51</f>
        <v>7455965.5882171057</v>
      </c>
    </row>
    <row r="96" spans="2:10">
      <c r="B96" s="332" t="str">
        <f>B60</f>
        <v>Add: Deprication</v>
      </c>
      <c r="C96" s="9"/>
      <c r="D96" s="65">
        <f>'6.Cons Profit &amp; Loss'!B42</f>
        <v>1089128.9889999998</v>
      </c>
      <c r="E96" s="65">
        <f>'6.Cons Profit &amp; Loss'!C42</f>
        <v>1089128.9889999998</v>
      </c>
      <c r="F96" s="65">
        <f>'6.Cons Profit &amp; Loss'!D42</f>
        <v>1089128.9889999998</v>
      </c>
      <c r="G96" s="65">
        <f>'6.Cons Profit &amp; Loss'!E42</f>
        <v>1089128.9889999998</v>
      </c>
      <c r="H96" s="65">
        <f>'6.Cons Profit &amp; Loss'!F42</f>
        <v>1089128.9889999998</v>
      </c>
      <c r="I96" s="65">
        <f>'6.Cons Profit &amp; Loss'!G42</f>
        <v>1089128.9889999998</v>
      </c>
      <c r="J96" s="65">
        <f>'6.Cons Profit &amp; Loss'!H42</f>
        <v>1089128.9889999998</v>
      </c>
    </row>
    <row r="97" spans="2:10" ht="30">
      <c r="B97" s="332" t="str">
        <f>B61</f>
        <v>Add. Preliminary exp Written off</v>
      </c>
      <c r="C97" s="9"/>
      <c r="D97" s="65">
        <f>'6.Cons Profit &amp; Loss'!B43</f>
        <v>126000</v>
      </c>
      <c r="E97" s="65">
        <f>'6.Cons Profit &amp; Loss'!C43</f>
        <v>126000</v>
      </c>
      <c r="F97" s="65">
        <f>'6.Cons Profit &amp; Loss'!D43</f>
        <v>126000</v>
      </c>
      <c r="G97" s="65">
        <f>'6.Cons Profit &amp; Loss'!E43</f>
        <v>126000</v>
      </c>
      <c r="H97" s="65">
        <f>'6.Cons Profit &amp; Loss'!F43</f>
        <v>126000</v>
      </c>
      <c r="I97" s="65">
        <f>'6.Cons Profit &amp; Loss'!G43</f>
        <v>0</v>
      </c>
      <c r="J97" s="65">
        <f>'6.Cons Profit &amp; Loss'!H43</f>
        <v>0</v>
      </c>
    </row>
    <row r="98" spans="2:10">
      <c r="B98" s="332" t="str">
        <f>B63</f>
        <v xml:space="preserve">Net Cash Accrual (A)      </v>
      </c>
      <c r="C98" s="9"/>
      <c r="D98" s="191">
        <f>SUM(D95:D97)</f>
        <v>2458223.8334451616</v>
      </c>
      <c r="E98" s="191">
        <f t="shared" ref="E98:J98" si="10">SUM(E95:E97)</f>
        <v>2838457.9054401703</v>
      </c>
      <c r="F98" s="191">
        <f t="shared" si="10"/>
        <v>3760616.4335098667</v>
      </c>
      <c r="G98" s="191">
        <f t="shared" si="10"/>
        <v>4789680.8514497075</v>
      </c>
      <c r="H98" s="191">
        <f t="shared" si="10"/>
        <v>5931112.4828022765</v>
      </c>
      <c r="I98" s="191">
        <f t="shared" si="10"/>
        <v>7158614.2635981208</v>
      </c>
      <c r="J98" s="191">
        <f t="shared" si="10"/>
        <v>8545094.5772171058</v>
      </c>
    </row>
    <row r="99" spans="2:10" ht="30">
      <c r="B99" s="332" t="s">
        <v>283</v>
      </c>
      <c r="C99" s="78"/>
      <c r="D99" s="53">
        <f>D98-C94</f>
        <v>-19126913.360926237</v>
      </c>
      <c r="E99" s="53">
        <f>D99+E98</f>
        <v>-16288455.455486067</v>
      </c>
      <c r="F99" s="53">
        <f>E99+F98</f>
        <v>-12527839.021976199</v>
      </c>
      <c r="G99" s="53">
        <f>F99+G98</f>
        <v>-7738158.1705264915</v>
      </c>
      <c r="H99" s="53">
        <f>G99+H98</f>
        <v>-1807045.687724215</v>
      </c>
      <c r="I99" s="66"/>
      <c r="J99" s="66"/>
    </row>
    <row r="101" spans="2:10">
      <c r="B101" s="5" t="s">
        <v>284</v>
      </c>
      <c r="D101" s="47">
        <f>4+(-G99/H98)</f>
        <v>5.3046723010166952</v>
      </c>
    </row>
    <row r="103" spans="2:10">
      <c r="B103" s="424" t="s">
        <v>421</v>
      </c>
      <c r="C103" s="424"/>
      <c r="D103" s="424"/>
      <c r="E103" s="424"/>
      <c r="F103" s="424"/>
      <c r="G103" s="424"/>
      <c r="H103" s="424"/>
      <c r="I103" s="424"/>
      <c r="J103" s="424"/>
    </row>
    <row r="105" spans="2:10" ht="18.75">
      <c r="B105" s="381" t="s">
        <v>542</v>
      </c>
      <c r="C105" s="381"/>
      <c r="D105" s="381"/>
      <c r="E105" s="381"/>
      <c r="F105" s="381"/>
      <c r="G105" s="381"/>
      <c r="H105" s="381"/>
      <c r="I105" s="381"/>
    </row>
    <row r="107" spans="2:10" ht="15.75">
      <c r="B107" s="327" t="s">
        <v>0</v>
      </c>
      <c r="C107" s="327" t="s">
        <v>2</v>
      </c>
      <c r="D107" s="327" t="s">
        <v>3</v>
      </c>
      <c r="E107" s="327" t="s">
        <v>4</v>
      </c>
      <c r="F107" s="327" t="s">
        <v>5</v>
      </c>
      <c r="G107" s="327" t="s">
        <v>6</v>
      </c>
      <c r="H107" s="327" t="s">
        <v>169</v>
      </c>
      <c r="I107" s="327" t="s">
        <v>168</v>
      </c>
    </row>
    <row r="108" spans="2:10" ht="15.75">
      <c r="B108" s="51"/>
      <c r="C108" s="52"/>
      <c r="D108" s="52"/>
      <c r="E108" s="52"/>
      <c r="F108" s="52"/>
      <c r="G108" s="52"/>
      <c r="H108" s="52"/>
      <c r="I108" s="52"/>
    </row>
    <row r="109" spans="2:10">
      <c r="B109" s="68" t="s">
        <v>723</v>
      </c>
      <c r="C109" s="69">
        <f>'6.Cons Profit &amp; Loss'!B51</f>
        <v>1243094.844445162</v>
      </c>
      <c r="D109" s="69">
        <f>'6.Cons Profit &amp; Loss'!C51</f>
        <v>1623328.9164401703</v>
      </c>
      <c r="E109" s="69">
        <f>'6.Cons Profit &amp; Loss'!D51</f>
        <v>2545487.4445098671</v>
      </c>
      <c r="F109" s="69">
        <f>'6.Cons Profit &amp; Loss'!E51</f>
        <v>3574551.8624497075</v>
      </c>
      <c r="G109" s="69">
        <f>'6.Cons Profit &amp; Loss'!F51</f>
        <v>4715983.4938022764</v>
      </c>
      <c r="H109" s="69">
        <f>'6.Cons Profit &amp; Loss'!G51</f>
        <v>6069485.2745981207</v>
      </c>
      <c r="I109" s="69">
        <f>'6.Cons Profit &amp; Loss'!H51</f>
        <v>7455965.5882171057</v>
      </c>
    </row>
    <row r="110" spans="2:10">
      <c r="B110" s="68" t="s">
        <v>346</v>
      </c>
      <c r="C110" s="69">
        <f>'6.Cons Profit &amp; Loss'!B42</f>
        <v>1089128.9889999998</v>
      </c>
      <c r="D110" s="69">
        <f>'6.Cons Profit &amp; Loss'!C42</f>
        <v>1089128.9889999998</v>
      </c>
      <c r="E110" s="69">
        <f>'6.Cons Profit &amp; Loss'!D42</f>
        <v>1089128.9889999998</v>
      </c>
      <c r="F110" s="69">
        <f>'6.Cons Profit &amp; Loss'!E42</f>
        <v>1089128.9889999998</v>
      </c>
      <c r="G110" s="69">
        <f>'6.Cons Profit &amp; Loss'!F42</f>
        <v>1089128.9889999998</v>
      </c>
      <c r="H110" s="69">
        <f>'6.Cons Profit &amp; Loss'!G42</f>
        <v>1089128.9889999998</v>
      </c>
      <c r="I110" s="69">
        <f>'6.Cons Profit &amp; Loss'!H42</f>
        <v>1089128.9889999998</v>
      </c>
    </row>
    <row r="111" spans="2:10">
      <c r="B111" s="68" t="s">
        <v>347</v>
      </c>
      <c r="C111" s="69">
        <f>'6.Cons Profit &amp; Loss'!B43</f>
        <v>126000</v>
      </c>
      <c r="D111" s="69">
        <f>'6.Cons Profit &amp; Loss'!C43</f>
        <v>126000</v>
      </c>
      <c r="E111" s="69">
        <f>'6.Cons Profit &amp; Loss'!D43</f>
        <v>126000</v>
      </c>
      <c r="F111" s="69">
        <f>'6.Cons Profit &amp; Loss'!E43</f>
        <v>126000</v>
      </c>
      <c r="G111" s="69">
        <f>'6.Cons Profit &amp; Loss'!F43</f>
        <v>126000</v>
      </c>
      <c r="H111" s="69">
        <f>'6.Cons Profit &amp; Loss'!G43</f>
        <v>0</v>
      </c>
      <c r="I111" s="69">
        <f>'6.Cons Profit &amp; Loss'!H43</f>
        <v>0</v>
      </c>
    </row>
    <row r="112" spans="2:10">
      <c r="B112" s="68" t="s">
        <v>348</v>
      </c>
      <c r="C112" s="69">
        <f>'8.Cash Flow '!C27</f>
        <v>850226.98303121002</v>
      </c>
      <c r="D112" s="69">
        <f>'8.Cash Flow '!D27</f>
        <v>770194.46009709965</v>
      </c>
      <c r="E112" s="69">
        <f>'8.Cash Flow '!E27</f>
        <v>665939.76609362196</v>
      </c>
      <c r="F112" s="69">
        <f>'8.Cash Flow '!F27</f>
        <v>548462.96738175384</v>
      </c>
      <c r="G112" s="69">
        <f>'8.Cash Flow '!G27</f>
        <v>416087.17013344576</v>
      </c>
      <c r="H112" s="69">
        <f>'8.Cash Flow '!H27</f>
        <v>266922.80841037747</v>
      </c>
      <c r="I112" s="69">
        <f>'8.Cash Flow '!I27</f>
        <v>98840.672017164965</v>
      </c>
    </row>
    <row r="113" spans="2:18">
      <c r="B113" s="70" t="s">
        <v>1</v>
      </c>
      <c r="C113" s="71">
        <f>SUM(C109:C112)</f>
        <v>3308450.8164763716</v>
      </c>
      <c r="D113" s="71">
        <f t="shared" ref="D113:I113" si="11">SUM(D109:D112)</f>
        <v>3608652.36553727</v>
      </c>
      <c r="E113" s="71">
        <f t="shared" si="11"/>
        <v>4426556.1996034887</v>
      </c>
      <c r="F113" s="71">
        <f t="shared" si="11"/>
        <v>5338143.8188314615</v>
      </c>
      <c r="G113" s="71">
        <f t="shared" si="11"/>
        <v>6347199.6529357219</v>
      </c>
      <c r="H113" s="71">
        <f t="shared" si="11"/>
        <v>7425537.072008498</v>
      </c>
      <c r="I113" s="71">
        <f t="shared" si="11"/>
        <v>8643935.2492342703</v>
      </c>
    </row>
    <row r="114" spans="2:18">
      <c r="B114" s="68"/>
      <c r="C114" s="68"/>
      <c r="D114" s="68"/>
      <c r="E114" s="68"/>
      <c r="F114" s="68"/>
      <c r="G114" s="68"/>
      <c r="H114" s="68"/>
      <c r="I114" s="68"/>
    </row>
    <row r="115" spans="2:18">
      <c r="B115" s="68" t="s">
        <v>285</v>
      </c>
      <c r="C115" s="72">
        <f>'8.Cash Flow '!C26+'8.Cash Flow '!C27</f>
        <v>1225869.5648588198</v>
      </c>
      <c r="D115" s="72">
        <f>'8.Cash Flow '!D26+'8.Cash Flow '!D27</f>
        <v>1592230.0937176398</v>
      </c>
      <c r="E115" s="72">
        <f>'8.Cash Flow '!E26+'8.Cash Flow '!E27</f>
        <v>1592230.0937176398</v>
      </c>
      <c r="F115" s="72">
        <f>'8.Cash Flow '!F26+'8.Cash Flow '!F27</f>
        <v>1592230.0937176393</v>
      </c>
      <c r="G115" s="72">
        <f>'8.Cash Flow '!G26+'8.Cash Flow '!G27</f>
        <v>1592230.0937176398</v>
      </c>
      <c r="H115" s="72">
        <f>'8.Cash Flow '!H26+'8.Cash Flow '!H27</f>
        <v>1592230.0937176398</v>
      </c>
      <c r="I115" s="72">
        <f>'8.Cash Flow '!I26+'8.Cash Flow '!I27</f>
        <v>1592230.0937176398</v>
      </c>
    </row>
    <row r="116" spans="2:18">
      <c r="B116" s="68"/>
      <c r="C116" s="68"/>
      <c r="D116" s="68"/>
      <c r="E116" s="68"/>
      <c r="F116" s="68"/>
      <c r="G116" s="68"/>
      <c r="H116" s="68"/>
      <c r="I116" s="68"/>
    </row>
    <row r="117" spans="2:18" ht="29.25">
      <c r="B117" s="153" t="s">
        <v>335</v>
      </c>
      <c r="C117" s="73">
        <f>C113/C115</f>
        <v>2.6988603937298965</v>
      </c>
      <c r="D117" s="73">
        <f t="shared" ref="D117:I117" si="12">D113/D115</f>
        <v>2.26641386805569</v>
      </c>
      <c r="E117" s="73">
        <f t="shared" si="12"/>
        <v>2.7800983143510902</v>
      </c>
      <c r="F117" s="73">
        <f t="shared" si="12"/>
        <v>3.352620855423996</v>
      </c>
      <c r="G117" s="73">
        <f t="shared" si="12"/>
        <v>3.9863583020943145</v>
      </c>
      <c r="H117" s="73">
        <f t="shared" si="12"/>
        <v>4.663608043402121</v>
      </c>
      <c r="I117" s="73">
        <f t="shared" si="12"/>
        <v>5.4288229341601388</v>
      </c>
    </row>
    <row r="118" spans="2:18">
      <c r="B118" s="67"/>
      <c r="C118" s="67"/>
      <c r="D118" s="67"/>
      <c r="E118" s="67"/>
      <c r="F118" s="67"/>
      <c r="G118" s="67"/>
      <c r="H118" s="67"/>
      <c r="I118" s="67"/>
    </row>
    <row r="119" spans="2:18">
      <c r="B119" s="67" t="s">
        <v>336</v>
      </c>
      <c r="C119" s="74">
        <f>AVERAGE(C117:I117)</f>
        <v>3.5966832444596064</v>
      </c>
      <c r="D119" s="67"/>
      <c r="E119" s="67"/>
      <c r="F119" s="67"/>
      <c r="G119" s="67"/>
      <c r="H119" s="67"/>
      <c r="I119" s="67"/>
    </row>
    <row r="121" spans="2:18" ht="29.65" customHeight="1">
      <c r="B121" s="388" t="s">
        <v>422</v>
      </c>
      <c r="C121" s="388"/>
      <c r="D121" s="388"/>
      <c r="E121" s="388"/>
      <c r="F121" s="388"/>
      <c r="G121" s="388"/>
      <c r="H121" s="388"/>
      <c r="I121" s="388"/>
      <c r="J121" s="388"/>
    </row>
    <row r="123" spans="2:18" ht="21">
      <c r="B123" s="419" t="s">
        <v>543</v>
      </c>
      <c r="C123" s="420"/>
      <c r="D123" s="420"/>
      <c r="E123" s="420"/>
      <c r="F123" s="420"/>
      <c r="G123" s="420"/>
      <c r="H123" s="420"/>
      <c r="I123" s="420"/>
      <c r="K123" s="421"/>
      <c r="L123" s="421"/>
      <c r="M123" s="421"/>
      <c r="N123" s="421"/>
      <c r="O123" s="421"/>
      <c r="P123" s="421"/>
      <c r="Q123" s="421"/>
      <c r="R123" s="421"/>
    </row>
    <row r="124" spans="2:18">
      <c r="B124" s="315" t="s">
        <v>349</v>
      </c>
      <c r="C124" s="316" t="s">
        <v>2</v>
      </c>
      <c r="D124" s="316" t="s">
        <v>3</v>
      </c>
      <c r="E124" s="316" t="s">
        <v>4</v>
      </c>
      <c r="F124" s="316" t="s">
        <v>5</v>
      </c>
      <c r="G124" s="316" t="s">
        <v>6</v>
      </c>
      <c r="H124" s="316" t="s">
        <v>169</v>
      </c>
      <c r="I124" s="316" t="s">
        <v>168</v>
      </c>
    </row>
    <row r="125" spans="2:18" ht="30">
      <c r="B125" s="33" t="str">
        <f>'6.Cons Profit &amp; Loss'!A8</f>
        <v>Facility 1 - Cashew Nut Trading</v>
      </c>
      <c r="C125" s="232">
        <f>'6.Cons Profit &amp; Loss'!B8*(1+$M$126)</f>
        <v>42275009.700000003</v>
      </c>
      <c r="D125" s="232">
        <f>'6.Cons Profit &amp; Loss'!C8*(1+$M$126)</f>
        <v>50189142.118500017</v>
      </c>
      <c r="E125" s="232">
        <f>'6.Cons Profit &amp; Loss'!D8*(1+$M$126)</f>
        <v>57502377.164925016</v>
      </c>
      <c r="F125" s="232">
        <f>'6.Cons Profit &amp; Loss'!E8*(1+$M$126)</f>
        <v>65421462.860696279</v>
      </c>
      <c r="G125" s="232">
        <f>'6.Cons Profit &amp; Loss'!F8*(1+$M$126)</f>
        <v>73988701.18313235</v>
      </c>
      <c r="H125" s="232">
        <f>'6.Cons Profit &amp; Loss'!G8*(1+$M$126)</f>
        <v>83249109.680660278</v>
      </c>
      <c r="I125" s="232">
        <f>'6.Cons Profit &amp; Loss'!H8*(1+$M$126)</f>
        <v>93250587.274983197</v>
      </c>
    </row>
    <row r="126" spans="2:18" ht="30">
      <c r="B126" s="33" t="str">
        <f>'6.Cons Profit &amp; Loss'!A9</f>
        <v>Facility 2 - Cashew Nut Processing</v>
      </c>
      <c r="C126" s="232">
        <f>'6.Cons Profit &amp; Loss'!B9*(1+$M$126)</f>
        <v>35714649.908700004</v>
      </c>
      <c r="D126" s="232">
        <f>'6.Cons Profit &amp; Loss'!C9*(1+$M$126)</f>
        <v>46160264.526326992</v>
      </c>
      <c r="E126" s="232">
        <f>'6.Cons Profit &amp; Loss'!D9*(1+$M$126)</f>
        <v>56586917.242198348</v>
      </c>
      <c r="F126" s="232">
        <f>'6.Cons Profit &amp; Loss'!E9*(1+$M$126)</f>
        <v>67940834.568341032</v>
      </c>
      <c r="G126" s="232">
        <f>'6.Cons Profit &amp; Loss'!F9*(1+$M$126)</f>
        <v>80288676.333992466</v>
      </c>
      <c r="H126" s="232">
        <f>'6.Cons Profit &amp; Loss'!G9*(1+$M$126)</f>
        <v>93701450.189788207</v>
      </c>
      <c r="I126" s="232">
        <f>'6.Cons Profit &amp; Loss'!H9*(1+$M$126)</f>
        <v>108254779.74032857</v>
      </c>
      <c r="L126" s="5" t="s">
        <v>367</v>
      </c>
      <c r="M126" s="199">
        <v>0.05</v>
      </c>
    </row>
    <row r="127" spans="2:18">
      <c r="B127" s="33" t="str">
        <f>'6.Cons Profit &amp; Loss'!A10</f>
        <v>Faclitiy 3 - Warehouse</v>
      </c>
      <c r="C127" s="232">
        <f>'6.Cons Profit &amp; Loss'!B10*(1+$M$126)</f>
        <v>0</v>
      </c>
      <c r="D127" s="232">
        <f>'6.Cons Profit &amp; Loss'!C10*(1+$M$126)</f>
        <v>0</v>
      </c>
      <c r="E127" s="232">
        <f>'6.Cons Profit &amp; Loss'!D10*(1+$M$126)</f>
        <v>0</v>
      </c>
      <c r="F127" s="232">
        <f>'6.Cons Profit &amp; Loss'!E10*(1+$M$126)</f>
        <v>0</v>
      </c>
      <c r="G127" s="232">
        <f>'6.Cons Profit &amp; Loss'!F10*(1+$M$126)</f>
        <v>0</v>
      </c>
      <c r="H127" s="232">
        <f>'6.Cons Profit &amp; Loss'!G10*(1+$M$126)</f>
        <v>0</v>
      </c>
      <c r="I127" s="232">
        <f>'6.Cons Profit &amp; Loss'!H10*(1+$M$126)</f>
        <v>0</v>
      </c>
      <c r="L127" s="5" t="s">
        <v>368</v>
      </c>
      <c r="M127" s="199">
        <v>0.05</v>
      </c>
    </row>
    <row r="128" spans="2:18">
      <c r="B128" s="33" t="str">
        <f>'6.Cons Profit &amp; Loss'!A11</f>
        <v xml:space="preserve">Faclitiy 4 - Custom Hiring </v>
      </c>
      <c r="C128" s="232">
        <f>'6.Cons Profit &amp; Loss'!B11*(1+$M$126)</f>
        <v>0</v>
      </c>
      <c r="D128" s="232">
        <f>'6.Cons Profit &amp; Loss'!C11*(1+$M$126)</f>
        <v>0</v>
      </c>
      <c r="E128" s="232">
        <f>'6.Cons Profit &amp; Loss'!D11*(1+$M$126)</f>
        <v>0</v>
      </c>
      <c r="F128" s="232">
        <f>'6.Cons Profit &amp; Loss'!E11*(1+$M$126)</f>
        <v>0</v>
      </c>
      <c r="G128" s="232">
        <f>'6.Cons Profit &amp; Loss'!F11*(1+$M$126)</f>
        <v>0</v>
      </c>
      <c r="H128" s="232">
        <f>'6.Cons Profit &amp; Loss'!G11*(1+$M$126)</f>
        <v>0</v>
      </c>
      <c r="I128" s="232">
        <f>'6.Cons Profit &amp; Loss'!H11*(1+$M$126)</f>
        <v>0</v>
      </c>
    </row>
    <row r="129" spans="2:9" ht="30">
      <c r="B129" s="33" t="str">
        <f>'6.Cons Profit &amp; Loss'!A12</f>
        <v>Faclitiy 5 - Agri Input Centre</v>
      </c>
      <c r="C129" s="232">
        <f>'6.Cons Profit &amp; Loss'!B12*(1+$M$126)</f>
        <v>0</v>
      </c>
      <c r="D129" s="232">
        <f>'6.Cons Profit &amp; Loss'!C12*(1+$M$126)</f>
        <v>0</v>
      </c>
      <c r="E129" s="232">
        <f>'6.Cons Profit &amp; Loss'!D12*(1+$M$126)</f>
        <v>0</v>
      </c>
      <c r="F129" s="232">
        <f>'6.Cons Profit &amp; Loss'!E12*(1+$M$126)</f>
        <v>0</v>
      </c>
      <c r="G129" s="232">
        <f>'6.Cons Profit &amp; Loss'!F12*(1+$M$126)</f>
        <v>0</v>
      </c>
      <c r="H129" s="232">
        <f>'6.Cons Profit &amp; Loss'!G12*(1+$M$126)</f>
        <v>0</v>
      </c>
      <c r="I129" s="232">
        <f>'6.Cons Profit &amp; Loss'!H12*(1+$M$126)</f>
        <v>0</v>
      </c>
    </row>
    <row r="130" spans="2:9" ht="30">
      <c r="B130" s="33" t="str">
        <f>'6.Cons Profit &amp; Loss'!A13</f>
        <v>Facility 3 - Cashew Apple Processing</v>
      </c>
      <c r="C130" s="232">
        <f>'6.Cons Profit &amp; Loss'!B13*(1+$M$126)</f>
        <v>3079943.9999999995</v>
      </c>
      <c r="D130" s="232">
        <f>'6.Cons Profit &amp; Loss'!C13*(1+$M$126)</f>
        <v>4142445.3</v>
      </c>
      <c r="E130" s="232">
        <f>'6.Cons Profit &amp; Loss'!D13*(1+$M$126)</f>
        <v>5224732.0650000004</v>
      </c>
      <c r="F130" s="232">
        <f>'6.Cons Profit &amp; Loss'!E13*(1+$M$126)</f>
        <v>6404891.3932500007</v>
      </c>
      <c r="G130" s="232">
        <f>'6.Cons Profit &amp; Loss'!F13*(1+$M$126)</f>
        <v>7690004.8241625009</v>
      </c>
      <c r="H130" s="232">
        <f>'6.Cons Profit &amp; Loss'!G13*(1+$M$126)</f>
        <v>9087617.3696831279</v>
      </c>
      <c r="I130" s="232">
        <f>'6.Cons Profit &amp; Loss'!H13*(1+$M$126)</f>
        <v>10605766.157695411</v>
      </c>
    </row>
    <row r="131" spans="2:9">
      <c r="B131" s="55">
        <f>'6.Cons Profit &amp; Loss'!A14</f>
        <v>0</v>
      </c>
      <c r="C131" s="232">
        <f>'6.Cons Profit &amp; Loss'!B14*(1+$M$126)</f>
        <v>0</v>
      </c>
      <c r="D131" s="232">
        <f>'6.Cons Profit &amp; Loss'!C14*(1+$M$126)</f>
        <v>0</v>
      </c>
      <c r="E131" s="232">
        <f>'6.Cons Profit &amp; Loss'!D14*(1+$M$126)</f>
        <v>0</v>
      </c>
      <c r="F131" s="232">
        <f>'6.Cons Profit &amp; Loss'!E14*(1+$M$126)</f>
        <v>0</v>
      </c>
      <c r="G131" s="232">
        <f>'6.Cons Profit &amp; Loss'!F14*(1+$M$126)</f>
        <v>0</v>
      </c>
      <c r="H131" s="232">
        <f>'6.Cons Profit &amp; Loss'!G14*(1+$M$126)</f>
        <v>0</v>
      </c>
      <c r="I131" s="232">
        <f>'6.Cons Profit &amp; Loss'!H14*(1+$M$126)</f>
        <v>0</v>
      </c>
    </row>
    <row r="132" spans="2:9">
      <c r="B132" s="33" t="s">
        <v>350</v>
      </c>
      <c r="C132" s="232">
        <f>SUM(C125:C131)</f>
        <v>81069603.608700007</v>
      </c>
      <c r="D132" s="232">
        <f t="shared" ref="D132:I132" si="13">SUM(D125:D131)</f>
        <v>100491851.94482701</v>
      </c>
      <c r="E132" s="232">
        <f t="shared" si="13"/>
        <v>119314026.47212335</v>
      </c>
      <c r="F132" s="232">
        <f t="shared" si="13"/>
        <v>139767188.82228729</v>
      </c>
      <c r="G132" s="232">
        <f t="shared" si="13"/>
        <v>161967382.34128734</v>
      </c>
      <c r="H132" s="232">
        <f t="shared" si="13"/>
        <v>186038177.24013159</v>
      </c>
      <c r="I132" s="232">
        <f t="shared" si="13"/>
        <v>212111133.17300719</v>
      </c>
    </row>
    <row r="133" spans="2:9">
      <c r="B133" s="33" t="s">
        <v>351</v>
      </c>
      <c r="C133" s="232"/>
      <c r="D133" s="232"/>
      <c r="E133" s="232"/>
      <c r="F133" s="232"/>
      <c r="G133" s="232"/>
      <c r="H133" s="232"/>
      <c r="I133" s="232"/>
    </row>
    <row r="134" spans="2:9" ht="45">
      <c r="B134" s="33" t="s">
        <v>352</v>
      </c>
      <c r="C134" s="232">
        <f>'6.Cons Profit &amp; Loss'!B36</f>
        <v>2350000</v>
      </c>
      <c r="D134" s="232">
        <f>'6.Cons Profit &amp; Loss'!C36</f>
        <v>2467500</v>
      </c>
      <c r="E134" s="232">
        <f>'6.Cons Profit &amp; Loss'!D36</f>
        <v>2590875</v>
      </c>
      <c r="F134" s="232">
        <f>'6.Cons Profit &amp; Loss'!E36</f>
        <v>2720418.7500000005</v>
      </c>
      <c r="G134" s="232">
        <f>'6.Cons Profit &amp; Loss'!F36</f>
        <v>2856439.6875000005</v>
      </c>
      <c r="H134" s="232">
        <f>'6.Cons Profit &amp; Loss'!G36</f>
        <v>2999261.6718750005</v>
      </c>
      <c r="I134" s="232">
        <f>'6.Cons Profit &amp; Loss'!H36</f>
        <v>3149224.7554687513</v>
      </c>
    </row>
    <row r="135" spans="2:9">
      <c r="B135" s="33" t="s">
        <v>311</v>
      </c>
      <c r="C135" s="232">
        <f>'6.Cons Profit &amp; Loss'!B25*(1+M126)</f>
        <v>74864272.042224005</v>
      </c>
      <c r="D135" s="232">
        <f>'6.Cons Profit &amp; Loss'!C25*(1+N126)</f>
        <v>88906120.184548825</v>
      </c>
      <c r="E135" s="232">
        <f>'6.Cons Profit &amp; Loss'!D25*(1+O126)</f>
        <v>105356385.07335649</v>
      </c>
      <c r="F135" s="232">
        <f>'6.Cons Profit &amp; Loss'!E25*(1+P126)</f>
        <v>123229411.15058358</v>
      </c>
      <c r="G135" s="232">
        <f>'6.Cons Profit &amp; Loss'!F25*(1+Q126)</f>
        <v>142626348.87284997</v>
      </c>
      <c r="H135" s="232">
        <f>'6.Cons Profit &amp; Loss'!G25*(1+R126)</f>
        <v>163654906.83946657</v>
      </c>
      <c r="I135" s="232">
        <f>'6.Cons Profit &amp; Loss'!H25*(1+S126)</f>
        <v>186429754.73056272</v>
      </c>
    </row>
    <row r="136" spans="2:9">
      <c r="B136" s="33" t="s">
        <v>353</v>
      </c>
      <c r="C136" s="232">
        <f t="shared" ref="C136:I136" si="14">SUM(C134:C135)</f>
        <v>77214272.042224005</v>
      </c>
      <c r="D136" s="232">
        <f t="shared" si="14"/>
        <v>91373620.184548825</v>
      </c>
      <c r="E136" s="232">
        <f t="shared" si="14"/>
        <v>107947260.07335649</v>
      </c>
      <c r="F136" s="232">
        <f t="shared" si="14"/>
        <v>125949829.90058358</v>
      </c>
      <c r="G136" s="232">
        <f t="shared" si="14"/>
        <v>145482788.56034997</v>
      </c>
      <c r="H136" s="232">
        <f t="shared" si="14"/>
        <v>166654168.51134157</v>
      </c>
      <c r="I136" s="232">
        <f t="shared" si="14"/>
        <v>189578979.48603147</v>
      </c>
    </row>
    <row r="137" spans="2:9">
      <c r="B137" s="58" t="s">
        <v>354</v>
      </c>
      <c r="C137" s="234">
        <f t="shared" ref="C137:I137" si="15">+C132-C136</f>
        <v>3855331.5664760023</v>
      </c>
      <c r="D137" s="234">
        <f t="shared" si="15"/>
        <v>9118231.7602781802</v>
      </c>
      <c r="E137" s="234">
        <f t="shared" si="15"/>
        <v>11366766.39876686</v>
      </c>
      <c r="F137" s="234">
        <f t="shared" si="15"/>
        <v>13817358.921703711</v>
      </c>
      <c r="G137" s="234">
        <f t="shared" si="15"/>
        <v>16484593.780937374</v>
      </c>
      <c r="H137" s="234">
        <f t="shared" si="15"/>
        <v>19384008.728790015</v>
      </c>
      <c r="I137" s="234">
        <f t="shared" si="15"/>
        <v>22532153.686975718</v>
      </c>
    </row>
    <row r="138" spans="2:9">
      <c r="B138" s="8"/>
      <c r="C138" s="60"/>
      <c r="D138" s="60"/>
      <c r="E138" s="60"/>
      <c r="F138" s="60"/>
      <c r="G138" s="60"/>
      <c r="H138" s="60"/>
      <c r="I138" s="60"/>
    </row>
    <row r="139" spans="2:9">
      <c r="B139" s="315" t="s">
        <v>355</v>
      </c>
      <c r="C139" s="316" t="s">
        <v>2</v>
      </c>
      <c r="D139" s="316" t="s">
        <v>3</v>
      </c>
      <c r="E139" s="316" t="s">
        <v>4</v>
      </c>
      <c r="F139" s="316" t="s">
        <v>5</v>
      </c>
      <c r="G139" s="316" t="s">
        <v>6</v>
      </c>
      <c r="H139" s="316" t="s">
        <v>169</v>
      </c>
      <c r="I139" s="316" t="s">
        <v>168</v>
      </c>
    </row>
    <row r="140" spans="2:9" ht="30">
      <c r="B140" s="333" t="str">
        <f t="shared" ref="B140:B146" si="16">B125</f>
        <v>Facility 1 - Cashew Nut Trading</v>
      </c>
      <c r="C140" s="328">
        <f>'6.Cons Profit &amp; Loss'!B8</f>
        <v>40261914</v>
      </c>
      <c r="D140" s="328">
        <f>'6.Cons Profit &amp; Loss'!C8</f>
        <v>47799182.970000014</v>
      </c>
      <c r="E140" s="328">
        <f>'6.Cons Profit &amp; Loss'!D8</f>
        <v>54764168.728500016</v>
      </c>
      <c r="F140" s="328">
        <f>'6.Cons Profit &amp; Loss'!E8</f>
        <v>62306155.105425023</v>
      </c>
      <c r="G140" s="328">
        <f>'6.Cons Profit &amp; Loss'!F8</f>
        <v>70465429.698221281</v>
      </c>
      <c r="H140" s="328">
        <f>'6.Cons Profit &amp; Loss'!G8</f>
        <v>79284866.362533599</v>
      </c>
      <c r="I140" s="328">
        <f>'6.Cons Profit &amp; Loss'!H8</f>
        <v>88810083.119031608</v>
      </c>
    </row>
    <row r="141" spans="2:9" ht="30">
      <c r="B141" s="33" t="str">
        <f t="shared" si="16"/>
        <v>Facility 2 - Cashew Nut Processing</v>
      </c>
      <c r="C141" s="57">
        <f>'6.Cons Profit &amp; Loss'!B9</f>
        <v>34013952.294</v>
      </c>
      <c r="D141" s="57">
        <f>'6.Cons Profit &amp; Loss'!C9</f>
        <v>43962156.691739991</v>
      </c>
      <c r="E141" s="57">
        <f>'6.Cons Profit &amp; Loss'!D9</f>
        <v>53892302.135426998</v>
      </c>
      <c r="F141" s="57">
        <f>'6.Cons Profit &amp; Loss'!E9</f>
        <v>64705556.731753357</v>
      </c>
      <c r="G141" s="57">
        <f>'6.Cons Profit &amp; Loss'!F9</f>
        <v>76465406.032373771</v>
      </c>
      <c r="H141" s="57">
        <f>'6.Cons Profit &amp; Loss'!G9</f>
        <v>89239476.371226862</v>
      </c>
      <c r="I141" s="57">
        <f>'6.Cons Profit &amp; Loss'!H9</f>
        <v>103099790.22888434</v>
      </c>
    </row>
    <row r="142" spans="2:9">
      <c r="B142" s="33" t="str">
        <f t="shared" si="16"/>
        <v>Faclitiy 3 - Warehouse</v>
      </c>
      <c r="C142" s="57">
        <f>'6.Cons Profit &amp; Loss'!B10</f>
        <v>0</v>
      </c>
      <c r="D142" s="57">
        <f>'6.Cons Profit &amp; Loss'!C10</f>
        <v>0</v>
      </c>
      <c r="E142" s="57">
        <f>'6.Cons Profit &amp; Loss'!D10</f>
        <v>0</v>
      </c>
      <c r="F142" s="57">
        <f>'6.Cons Profit &amp; Loss'!E10</f>
        <v>0</v>
      </c>
      <c r="G142" s="57">
        <f>'6.Cons Profit &amp; Loss'!F10</f>
        <v>0</v>
      </c>
      <c r="H142" s="57">
        <f>'6.Cons Profit &amp; Loss'!G10</f>
        <v>0</v>
      </c>
      <c r="I142" s="57">
        <f>'6.Cons Profit &amp; Loss'!H10</f>
        <v>0</v>
      </c>
    </row>
    <row r="143" spans="2:9">
      <c r="B143" s="33" t="str">
        <f t="shared" si="16"/>
        <v xml:space="preserve">Faclitiy 4 - Custom Hiring </v>
      </c>
      <c r="C143" s="57">
        <f>'6.Cons Profit &amp; Loss'!B11</f>
        <v>0</v>
      </c>
      <c r="D143" s="57">
        <f>'6.Cons Profit &amp; Loss'!C11</f>
        <v>0</v>
      </c>
      <c r="E143" s="57">
        <f>'6.Cons Profit &amp; Loss'!D11</f>
        <v>0</v>
      </c>
      <c r="F143" s="57">
        <f>'6.Cons Profit &amp; Loss'!E11</f>
        <v>0</v>
      </c>
      <c r="G143" s="57">
        <f>'6.Cons Profit &amp; Loss'!F11</f>
        <v>0</v>
      </c>
      <c r="H143" s="57">
        <f>'6.Cons Profit &amp; Loss'!G11</f>
        <v>0</v>
      </c>
      <c r="I143" s="57">
        <f>'6.Cons Profit &amp; Loss'!H11</f>
        <v>0</v>
      </c>
    </row>
    <row r="144" spans="2:9" ht="30">
      <c r="B144" s="33" t="str">
        <f t="shared" si="16"/>
        <v>Faclitiy 5 - Agri Input Centre</v>
      </c>
      <c r="C144" s="57">
        <f>'6.Cons Profit &amp; Loss'!B12</f>
        <v>0</v>
      </c>
      <c r="D144" s="57">
        <f>'6.Cons Profit &amp; Loss'!C12</f>
        <v>0</v>
      </c>
      <c r="E144" s="57">
        <f>'6.Cons Profit &amp; Loss'!D12</f>
        <v>0</v>
      </c>
      <c r="F144" s="57">
        <f>'6.Cons Profit &amp; Loss'!E12</f>
        <v>0</v>
      </c>
      <c r="G144" s="57">
        <f>'6.Cons Profit &amp; Loss'!F12</f>
        <v>0</v>
      </c>
      <c r="H144" s="57">
        <f>'6.Cons Profit &amp; Loss'!G12</f>
        <v>0</v>
      </c>
      <c r="I144" s="57">
        <f>'6.Cons Profit &amp; Loss'!H12</f>
        <v>0</v>
      </c>
    </row>
    <row r="145" spans="2:15" ht="30">
      <c r="B145" s="33" t="str">
        <f t="shared" si="16"/>
        <v>Facility 3 - Cashew Apple Processing</v>
      </c>
      <c r="C145" s="57">
        <f>'6.Cons Profit &amp; Loss'!B13</f>
        <v>2933279.9999999995</v>
      </c>
      <c r="D145" s="57">
        <f>'6.Cons Profit &amp; Loss'!C13</f>
        <v>3945185.9999999995</v>
      </c>
      <c r="E145" s="57">
        <f>'6.Cons Profit &amp; Loss'!D13</f>
        <v>4975935.3</v>
      </c>
      <c r="F145" s="57">
        <f>'6.Cons Profit &amp; Loss'!E13</f>
        <v>6099896.5650000004</v>
      </c>
      <c r="G145" s="57">
        <f>'6.Cons Profit &amp; Loss'!F13</f>
        <v>7323814.1182500003</v>
      </c>
      <c r="H145" s="57">
        <f>'6.Cons Profit &amp; Loss'!G13</f>
        <v>8654873.6854125019</v>
      </c>
      <c r="I145" s="57">
        <f>'6.Cons Profit &amp; Loss'!H13</f>
        <v>10100729.673995629</v>
      </c>
    </row>
    <row r="146" spans="2:15">
      <c r="B146" s="55">
        <f t="shared" si="16"/>
        <v>0</v>
      </c>
      <c r="C146" s="57">
        <f>'6.Cons Profit &amp; Loss'!B14</f>
        <v>0</v>
      </c>
      <c r="D146" s="57">
        <f>'6.Cons Profit &amp; Loss'!C14</f>
        <v>0</v>
      </c>
      <c r="E146" s="57">
        <f>'6.Cons Profit &amp; Loss'!D14</f>
        <v>0</v>
      </c>
      <c r="F146" s="57">
        <f>'6.Cons Profit &amp; Loss'!E14</f>
        <v>0</v>
      </c>
      <c r="G146" s="57">
        <f>'6.Cons Profit &amp; Loss'!F14</f>
        <v>0</v>
      </c>
      <c r="H146" s="57">
        <f>'6.Cons Profit &amp; Loss'!G14</f>
        <v>0</v>
      </c>
      <c r="I146" s="57">
        <f>'6.Cons Profit &amp; Loss'!H14</f>
        <v>0</v>
      </c>
    </row>
    <row r="147" spans="2:15">
      <c r="B147" s="33" t="s">
        <v>350</v>
      </c>
      <c r="C147" s="57">
        <f>SUM(C140:C146)</f>
        <v>77209146.294</v>
      </c>
      <c r="D147" s="57">
        <f t="shared" ref="D147:I147" si="17">SUM(D140:D146)</f>
        <v>95706525.661740005</v>
      </c>
      <c r="E147" s="57">
        <f t="shared" si="17"/>
        <v>113632406.163927</v>
      </c>
      <c r="F147" s="57">
        <f t="shared" si="17"/>
        <v>133111608.40217838</v>
      </c>
      <c r="G147" s="57">
        <f t="shared" si="17"/>
        <v>154254649.84884506</v>
      </c>
      <c r="H147" s="57">
        <f t="shared" si="17"/>
        <v>177179216.41917297</v>
      </c>
      <c r="I147" s="57">
        <f t="shared" si="17"/>
        <v>202010603.02191156</v>
      </c>
    </row>
    <row r="148" spans="2:15">
      <c r="B148" s="33" t="s">
        <v>351</v>
      </c>
      <c r="C148" s="61"/>
      <c r="D148" s="57"/>
      <c r="E148" s="57"/>
      <c r="F148" s="57"/>
      <c r="G148" s="57"/>
      <c r="H148" s="57"/>
      <c r="I148" s="57"/>
    </row>
    <row r="149" spans="2:15" ht="45">
      <c r="B149" s="33" t="s">
        <v>352</v>
      </c>
      <c r="C149" s="56">
        <f>'6.Cons Profit &amp; Loss'!B36</f>
        <v>2350000</v>
      </c>
      <c r="D149" s="56">
        <f>'6.Cons Profit &amp; Loss'!C36</f>
        <v>2467500</v>
      </c>
      <c r="E149" s="56">
        <f>'6.Cons Profit &amp; Loss'!D36</f>
        <v>2590875</v>
      </c>
      <c r="F149" s="56">
        <f>'6.Cons Profit &amp; Loss'!E36</f>
        <v>2720418.7500000005</v>
      </c>
      <c r="G149" s="56">
        <f>'6.Cons Profit &amp; Loss'!F36</f>
        <v>2856439.6875000005</v>
      </c>
      <c r="H149" s="56">
        <f>'6.Cons Profit &amp; Loss'!G36</f>
        <v>2999261.6718750005</v>
      </c>
      <c r="I149" s="56">
        <f>'6.Cons Profit &amp; Loss'!H36</f>
        <v>3149224.7554687513</v>
      </c>
    </row>
    <row r="150" spans="2:15">
      <c r="B150" s="33" t="s">
        <v>311</v>
      </c>
      <c r="C150" s="56">
        <f>'6.Cons Profit &amp; Loss'!B25*(1+$M$127)</f>
        <v>74864272.042224005</v>
      </c>
      <c r="D150" s="56">
        <f>'6.Cons Profit &amp; Loss'!C25*(1+$M$127)</f>
        <v>93351426.193776265</v>
      </c>
      <c r="E150" s="56">
        <f>'6.Cons Profit &amp; Loss'!D25*(1+$M$127)</f>
        <v>110624204.32702433</v>
      </c>
      <c r="F150" s="56">
        <f>'6.Cons Profit &amp; Loss'!E25*(1+$M$127)</f>
        <v>129390881.70811276</v>
      </c>
      <c r="G150" s="56">
        <f>'6.Cons Profit &amp; Loss'!F25*(1+$M$127)</f>
        <v>149757666.31649247</v>
      </c>
      <c r="H150" s="56">
        <f>'6.Cons Profit &amp; Loss'!G25*(1+$M$127)</f>
        <v>171837652.18143991</v>
      </c>
      <c r="I150" s="56">
        <f>'6.Cons Profit &amp; Loss'!H25*(1+$M$127)</f>
        <v>195751242.46709087</v>
      </c>
    </row>
    <row r="151" spans="2:15">
      <c r="B151" s="33" t="s">
        <v>353</v>
      </c>
      <c r="C151" s="56">
        <f t="shared" ref="C151:I151" si="18">SUM(C149:C150)</f>
        <v>77214272.042224005</v>
      </c>
      <c r="D151" s="56">
        <f t="shared" si="18"/>
        <v>95818926.193776265</v>
      </c>
      <c r="E151" s="56">
        <f t="shared" si="18"/>
        <v>113215079.32702433</v>
      </c>
      <c r="F151" s="56">
        <f t="shared" si="18"/>
        <v>132111300.45811276</v>
      </c>
      <c r="G151" s="56">
        <f t="shared" si="18"/>
        <v>152614106.00399247</v>
      </c>
      <c r="H151" s="56">
        <f t="shared" si="18"/>
        <v>174836913.85331491</v>
      </c>
      <c r="I151" s="56">
        <f t="shared" si="18"/>
        <v>198900467.22255963</v>
      </c>
    </row>
    <row r="152" spans="2:15">
      <c r="B152" s="29" t="s">
        <v>354</v>
      </c>
      <c r="C152" s="59">
        <f t="shared" ref="C152:I152" si="19">+C147-C151</f>
        <v>-5125.7482240051031</v>
      </c>
      <c r="D152" s="59">
        <f t="shared" si="19"/>
        <v>-112400.53203625977</v>
      </c>
      <c r="E152" s="59">
        <f t="shared" si="19"/>
        <v>417326.83690267801</v>
      </c>
      <c r="F152" s="59">
        <f t="shared" si="19"/>
        <v>1000307.9440656155</v>
      </c>
      <c r="G152" s="59">
        <f t="shared" si="19"/>
        <v>1640543.8448525965</v>
      </c>
      <c r="H152" s="59">
        <f t="shared" si="19"/>
        <v>2342302.5658580661</v>
      </c>
      <c r="I152" s="59">
        <f t="shared" si="19"/>
        <v>3110135.7993519306</v>
      </c>
      <c r="N152" s="4"/>
      <c r="O152" s="6"/>
    </row>
    <row r="153" spans="2:15">
      <c r="B153" s="8"/>
      <c r="C153" s="60"/>
      <c r="D153" s="60"/>
      <c r="E153" s="60"/>
      <c r="F153" s="60"/>
      <c r="G153" s="60"/>
      <c r="H153" s="60"/>
      <c r="I153" s="60"/>
    </row>
    <row r="154" spans="2:15">
      <c r="B154" s="315" t="s">
        <v>356</v>
      </c>
      <c r="C154" s="316" t="s">
        <v>2</v>
      </c>
      <c r="D154" s="316" t="s">
        <v>3</v>
      </c>
      <c r="E154" s="316" t="s">
        <v>4</v>
      </c>
      <c r="F154" s="316" t="s">
        <v>5</v>
      </c>
      <c r="G154" s="316" t="s">
        <v>6</v>
      </c>
      <c r="H154" s="316" t="s">
        <v>169</v>
      </c>
      <c r="I154" s="316" t="s">
        <v>168</v>
      </c>
    </row>
    <row r="155" spans="2:15" ht="30">
      <c r="B155" s="33" t="str">
        <f t="shared" ref="B155:B161" si="20">B140</f>
        <v>Facility 1 - Cashew Nut Trading</v>
      </c>
      <c r="C155" s="232">
        <f>'6.Cons Profit &amp; Loss'!B8*(1-$M$126)</f>
        <v>38248818.299999997</v>
      </c>
      <c r="D155" s="232">
        <f>'6.Cons Profit &amp; Loss'!C8*(1-$M$126)</f>
        <v>45409223.821500011</v>
      </c>
      <c r="E155" s="232">
        <f>'6.Cons Profit &amp; Loss'!D8*(1-$M$126)</f>
        <v>52025960.292075016</v>
      </c>
      <c r="F155" s="232">
        <f>'6.Cons Profit &amp; Loss'!E8*(1-$M$126)</f>
        <v>59190847.350153767</v>
      </c>
      <c r="G155" s="232">
        <f>'6.Cons Profit &amp; Loss'!F8*(1-$M$126)</f>
        <v>66942158.213310212</v>
      </c>
      <c r="H155" s="232">
        <f>'6.Cons Profit &amp; Loss'!G8*(1-$M$126)</f>
        <v>75320623.044406921</v>
      </c>
      <c r="I155" s="232">
        <f>'6.Cons Profit &amp; Loss'!H8*(1-$M$126)</f>
        <v>84369578.963080019</v>
      </c>
    </row>
    <row r="156" spans="2:15" ht="30">
      <c r="B156" s="33" t="str">
        <f t="shared" si="20"/>
        <v>Facility 2 - Cashew Nut Processing</v>
      </c>
      <c r="C156" s="232">
        <f>'6.Cons Profit &amp; Loss'!B9*(1-$M$126)</f>
        <v>32313254.679299999</v>
      </c>
      <c r="D156" s="232">
        <f>'6.Cons Profit &amp; Loss'!C9*(1-$M$126)</f>
        <v>41764048.857152991</v>
      </c>
      <c r="E156" s="232">
        <f>'6.Cons Profit &amp; Loss'!D9*(1-$M$126)</f>
        <v>51197687.028655648</v>
      </c>
      <c r="F156" s="232">
        <f>'6.Cons Profit &amp; Loss'!E9*(1-$M$126)</f>
        <v>61470278.895165689</v>
      </c>
      <c r="G156" s="232">
        <f>'6.Cons Profit &amp; Loss'!F9*(1-$M$126)</f>
        <v>72642135.730755076</v>
      </c>
      <c r="H156" s="232">
        <f>'6.Cons Profit &amp; Loss'!G9*(1-$M$126)</f>
        <v>84777502.552665517</v>
      </c>
      <c r="I156" s="232">
        <f>'6.Cons Profit &amp; Loss'!H9*(1-$M$126)</f>
        <v>97944800.717440113</v>
      </c>
    </row>
    <row r="157" spans="2:15">
      <c r="B157" s="33" t="str">
        <f t="shared" si="20"/>
        <v>Faclitiy 3 - Warehouse</v>
      </c>
      <c r="C157" s="232">
        <f>'6.Cons Profit &amp; Loss'!B10*(1-$M$126)</f>
        <v>0</v>
      </c>
      <c r="D157" s="232">
        <f>'6.Cons Profit &amp; Loss'!C10*(1-$M$126)</f>
        <v>0</v>
      </c>
      <c r="E157" s="232">
        <f>'6.Cons Profit &amp; Loss'!D10*(1-$M$126)</f>
        <v>0</v>
      </c>
      <c r="F157" s="232">
        <f>'6.Cons Profit &amp; Loss'!E10*(1-$M$126)</f>
        <v>0</v>
      </c>
      <c r="G157" s="232">
        <f>'6.Cons Profit &amp; Loss'!F10*(1-$M$126)</f>
        <v>0</v>
      </c>
      <c r="H157" s="232">
        <f>'6.Cons Profit &amp; Loss'!G10*(1-$M$126)</f>
        <v>0</v>
      </c>
      <c r="I157" s="232">
        <f>'6.Cons Profit &amp; Loss'!H10*(1-$M$126)</f>
        <v>0</v>
      </c>
    </row>
    <row r="158" spans="2:15">
      <c r="B158" s="33" t="str">
        <f t="shared" si="20"/>
        <v xml:space="preserve">Faclitiy 4 - Custom Hiring </v>
      </c>
      <c r="C158" s="232">
        <f>'6.Cons Profit &amp; Loss'!B11*(1-$M$126)</f>
        <v>0</v>
      </c>
      <c r="D158" s="232">
        <f>'6.Cons Profit &amp; Loss'!C11*(1-$M$126)</f>
        <v>0</v>
      </c>
      <c r="E158" s="232">
        <f>'6.Cons Profit &amp; Loss'!D11*(1-$M$126)</f>
        <v>0</v>
      </c>
      <c r="F158" s="232">
        <f>'6.Cons Profit &amp; Loss'!E11*(1-$M$126)</f>
        <v>0</v>
      </c>
      <c r="G158" s="232">
        <f>'6.Cons Profit &amp; Loss'!F11*(1-$M$126)</f>
        <v>0</v>
      </c>
      <c r="H158" s="232">
        <f>'6.Cons Profit &amp; Loss'!G11*(1-$M$126)</f>
        <v>0</v>
      </c>
      <c r="I158" s="232">
        <f>'6.Cons Profit &amp; Loss'!H11*(1-$M$126)</f>
        <v>0</v>
      </c>
    </row>
    <row r="159" spans="2:15" ht="30">
      <c r="B159" s="33" t="str">
        <f t="shared" si="20"/>
        <v>Faclitiy 5 - Agri Input Centre</v>
      </c>
      <c r="C159" s="232">
        <f>'6.Cons Profit &amp; Loss'!B12*(1-$M$126)</f>
        <v>0</v>
      </c>
      <c r="D159" s="232">
        <f>'6.Cons Profit &amp; Loss'!C12*(1-$M$126)</f>
        <v>0</v>
      </c>
      <c r="E159" s="232">
        <f>'6.Cons Profit &amp; Loss'!D12*(1-$M$126)</f>
        <v>0</v>
      </c>
      <c r="F159" s="232">
        <f>'6.Cons Profit &amp; Loss'!E12*(1-$M$126)</f>
        <v>0</v>
      </c>
      <c r="G159" s="232">
        <f>'6.Cons Profit &amp; Loss'!F12*(1-$M$126)</f>
        <v>0</v>
      </c>
      <c r="H159" s="232">
        <f>'6.Cons Profit &amp; Loss'!G12*(1-$M$126)</f>
        <v>0</v>
      </c>
      <c r="I159" s="232">
        <f>'6.Cons Profit &amp; Loss'!H12*(1-$M$126)</f>
        <v>0</v>
      </c>
    </row>
    <row r="160" spans="2:15" ht="30">
      <c r="B160" s="33" t="str">
        <f t="shared" si="20"/>
        <v>Facility 3 - Cashew Apple Processing</v>
      </c>
      <c r="C160" s="232">
        <f>'6.Cons Profit &amp; Loss'!B13*(1-$M$126)</f>
        <v>2786615.9999999995</v>
      </c>
      <c r="D160" s="232">
        <f>'6.Cons Profit &amp; Loss'!C13*(1-$M$126)</f>
        <v>3747926.6999999993</v>
      </c>
      <c r="E160" s="232">
        <f>'6.Cons Profit &amp; Loss'!D13*(1-$M$126)</f>
        <v>4727138.5349999992</v>
      </c>
      <c r="F160" s="232">
        <f>'6.Cons Profit &amp; Loss'!E13*(1-$M$126)</f>
        <v>5794901.7367500002</v>
      </c>
      <c r="G160" s="232">
        <f>'6.Cons Profit &amp; Loss'!F13*(1-$M$126)</f>
        <v>6957623.4123374997</v>
      </c>
      <c r="H160" s="232">
        <f>'6.Cons Profit &amp; Loss'!G13*(1-$M$126)</f>
        <v>8222130.001141876</v>
      </c>
      <c r="I160" s="232">
        <f>'6.Cons Profit &amp; Loss'!H13*(1-$M$126)</f>
        <v>9595693.1902958471</v>
      </c>
    </row>
    <row r="161" spans="2:9">
      <c r="B161" s="55">
        <f t="shared" si="20"/>
        <v>0</v>
      </c>
      <c r="C161" s="232">
        <f>'6.Cons Profit &amp; Loss'!B14*(1-$M$126)</f>
        <v>0</v>
      </c>
      <c r="D161" s="232">
        <f>'6.Cons Profit &amp; Loss'!C14*(1-$M$126)</f>
        <v>0</v>
      </c>
      <c r="E161" s="232">
        <f>'6.Cons Profit &amp; Loss'!D14*(1-$M$126)</f>
        <v>0</v>
      </c>
      <c r="F161" s="232">
        <f>'6.Cons Profit &amp; Loss'!E14*(1-$M$126)</f>
        <v>0</v>
      </c>
      <c r="G161" s="232">
        <f>'6.Cons Profit &amp; Loss'!F14*(1-$M$126)</f>
        <v>0</v>
      </c>
      <c r="H161" s="232">
        <f>'6.Cons Profit &amp; Loss'!G14*(1-$M$126)</f>
        <v>0</v>
      </c>
      <c r="I161" s="232">
        <f>'6.Cons Profit &amp; Loss'!H14*(1-$M$126)</f>
        <v>0</v>
      </c>
    </row>
    <row r="162" spans="2:9">
      <c r="B162" s="33" t="s">
        <v>350</v>
      </c>
      <c r="C162" s="232">
        <f>SUM(C155:C161)</f>
        <v>73348688.979299992</v>
      </c>
      <c r="D162" s="232">
        <f t="shared" ref="D162:I162" si="21">SUM(D155:D161)</f>
        <v>90921199.378653005</v>
      </c>
      <c r="E162" s="232">
        <f t="shared" si="21"/>
        <v>107950785.85573065</v>
      </c>
      <c r="F162" s="232">
        <f t="shared" si="21"/>
        <v>126456027.98206946</v>
      </c>
      <c r="G162" s="232">
        <f t="shared" si="21"/>
        <v>146541917.35640278</v>
      </c>
      <c r="H162" s="232">
        <f t="shared" si="21"/>
        <v>168320255.5982143</v>
      </c>
      <c r="I162" s="232">
        <f t="shared" si="21"/>
        <v>191910072.87081596</v>
      </c>
    </row>
    <row r="163" spans="2:9">
      <c r="B163" s="33" t="s">
        <v>351</v>
      </c>
      <c r="C163" s="232"/>
      <c r="D163" s="232"/>
      <c r="E163" s="232"/>
      <c r="F163" s="232"/>
      <c r="G163" s="232"/>
      <c r="H163" s="232"/>
      <c r="I163" s="232"/>
    </row>
    <row r="164" spans="2:9" ht="45">
      <c r="B164" s="33" t="s">
        <v>352</v>
      </c>
      <c r="C164" s="232">
        <f>'6.Cons Profit &amp; Loss'!B36</f>
        <v>2350000</v>
      </c>
      <c r="D164" s="232">
        <f>'6.Cons Profit &amp; Loss'!C36</f>
        <v>2467500</v>
      </c>
      <c r="E164" s="232">
        <f>'6.Cons Profit &amp; Loss'!D36</f>
        <v>2590875</v>
      </c>
      <c r="F164" s="232">
        <f>'6.Cons Profit &amp; Loss'!E36</f>
        <v>2720418.7500000005</v>
      </c>
      <c r="G164" s="232">
        <f>'6.Cons Profit &amp; Loss'!F36</f>
        <v>2856439.6875000005</v>
      </c>
      <c r="H164" s="232">
        <f>'6.Cons Profit &amp; Loss'!G36</f>
        <v>2999261.6718750005</v>
      </c>
      <c r="I164" s="232">
        <f>'6.Cons Profit &amp; Loss'!H36</f>
        <v>3149224.7554687513</v>
      </c>
    </row>
    <row r="165" spans="2:9">
      <c r="B165" s="33" t="s">
        <v>311</v>
      </c>
      <c r="C165" s="232">
        <f>'6.Cons Profit &amp; Loss'!B25*(1-$M$126)</f>
        <v>67734341.371536002</v>
      </c>
      <c r="D165" s="232">
        <f>'6.Cons Profit &amp; Loss'!C25*(1-$M$126)</f>
        <v>84460814.175321385</v>
      </c>
      <c r="E165" s="232">
        <f>'6.Cons Profit &amp; Loss'!D25*(1-$M$126)</f>
        <v>100088565.81968866</v>
      </c>
      <c r="F165" s="232">
        <f>'6.Cons Profit &amp; Loss'!E25*(1-$M$126)</f>
        <v>117067940.5930544</v>
      </c>
      <c r="G165" s="232">
        <f>'6.Cons Profit &amp; Loss'!F25*(1-$M$126)</f>
        <v>135495031.42920747</v>
      </c>
      <c r="H165" s="232">
        <f>'6.Cons Profit &amp; Loss'!G25*(1-$M$126)</f>
        <v>155472161.49749324</v>
      </c>
      <c r="I165" s="232">
        <f>'6.Cons Profit &amp; Loss'!H25*(1-$M$126)</f>
        <v>177108266.99403456</v>
      </c>
    </row>
    <row r="166" spans="2:9">
      <c r="B166" s="33" t="s">
        <v>353</v>
      </c>
      <c r="C166" s="232">
        <f t="shared" ref="C166:I166" si="22">SUM(C164:C165)</f>
        <v>70084341.371536002</v>
      </c>
      <c r="D166" s="232">
        <f t="shared" si="22"/>
        <v>86928314.175321385</v>
      </c>
      <c r="E166" s="232">
        <f t="shared" si="22"/>
        <v>102679440.81968866</v>
      </c>
      <c r="F166" s="232">
        <f t="shared" si="22"/>
        <v>119788359.3430544</v>
      </c>
      <c r="G166" s="232">
        <f t="shared" si="22"/>
        <v>138351471.11670747</v>
      </c>
      <c r="H166" s="232">
        <f t="shared" si="22"/>
        <v>158471423.16936824</v>
      </c>
      <c r="I166" s="232">
        <f t="shared" si="22"/>
        <v>180257491.74950331</v>
      </c>
    </row>
    <row r="167" spans="2:9">
      <c r="B167" s="58" t="s">
        <v>354</v>
      </c>
      <c r="C167" s="234">
        <f t="shared" ref="C167:I167" si="23">+C162-C166</f>
        <v>3264347.6077639908</v>
      </c>
      <c r="D167" s="234">
        <f t="shared" si="23"/>
        <v>3992885.2033316195</v>
      </c>
      <c r="E167" s="234">
        <f t="shared" si="23"/>
        <v>5271345.0360419899</v>
      </c>
      <c r="F167" s="234">
        <f t="shared" si="23"/>
        <v>6667668.6390150636</v>
      </c>
      <c r="G167" s="234">
        <f t="shared" si="23"/>
        <v>8190446.2396953106</v>
      </c>
      <c r="H167" s="234">
        <f t="shared" si="23"/>
        <v>9848832.4288460612</v>
      </c>
      <c r="I167" s="234">
        <f t="shared" si="23"/>
        <v>11652581.121312648</v>
      </c>
    </row>
    <row r="168" spans="2:9">
      <c r="C168" s="60"/>
      <c r="D168" s="60"/>
      <c r="E168" s="60"/>
      <c r="F168" s="60"/>
      <c r="G168" s="60"/>
      <c r="H168" s="60"/>
      <c r="I168" s="60"/>
    </row>
    <row r="169" spans="2:9">
      <c r="B169" s="315" t="s">
        <v>357</v>
      </c>
      <c r="C169" s="316" t="s">
        <v>2</v>
      </c>
      <c r="D169" s="316" t="s">
        <v>3</v>
      </c>
      <c r="E169" s="316" t="s">
        <v>4</v>
      </c>
      <c r="F169" s="316" t="s">
        <v>5</v>
      </c>
      <c r="G169" s="316" t="s">
        <v>6</v>
      </c>
      <c r="H169" s="316" t="s">
        <v>169</v>
      </c>
      <c r="I169" s="316" t="s">
        <v>168</v>
      </c>
    </row>
    <row r="170" spans="2:9" ht="30">
      <c r="B170" s="33" t="str">
        <f t="shared" ref="B170:B176" si="24">B155</f>
        <v>Facility 1 - Cashew Nut Trading</v>
      </c>
      <c r="C170" s="57">
        <f>'6.Cons Profit &amp; Loss'!B8</f>
        <v>40261914</v>
      </c>
      <c r="D170" s="57">
        <f>'6.Cons Profit &amp; Loss'!C8</f>
        <v>47799182.970000014</v>
      </c>
      <c r="E170" s="57">
        <f>'6.Cons Profit &amp; Loss'!D8</f>
        <v>54764168.728500016</v>
      </c>
      <c r="F170" s="57">
        <f>'6.Cons Profit &amp; Loss'!E8</f>
        <v>62306155.105425023</v>
      </c>
      <c r="G170" s="57">
        <f>'6.Cons Profit &amp; Loss'!F8</f>
        <v>70465429.698221281</v>
      </c>
      <c r="H170" s="57">
        <f>'6.Cons Profit &amp; Loss'!G8</f>
        <v>79284866.362533599</v>
      </c>
      <c r="I170" s="57">
        <f>'6.Cons Profit &amp; Loss'!H8</f>
        <v>88810083.119031608</v>
      </c>
    </row>
    <row r="171" spans="2:9" ht="30">
      <c r="B171" s="33" t="str">
        <f t="shared" si="24"/>
        <v>Facility 2 - Cashew Nut Processing</v>
      </c>
      <c r="C171" s="57">
        <f>'6.Cons Profit &amp; Loss'!B9</f>
        <v>34013952.294</v>
      </c>
      <c r="D171" s="57">
        <f>'6.Cons Profit &amp; Loss'!C9</f>
        <v>43962156.691739991</v>
      </c>
      <c r="E171" s="57">
        <f>'6.Cons Profit &amp; Loss'!D9</f>
        <v>53892302.135426998</v>
      </c>
      <c r="F171" s="57">
        <f>'6.Cons Profit &amp; Loss'!E9</f>
        <v>64705556.731753357</v>
      </c>
      <c r="G171" s="57">
        <f>'6.Cons Profit &amp; Loss'!F9</f>
        <v>76465406.032373771</v>
      </c>
      <c r="H171" s="57">
        <f>'6.Cons Profit &amp; Loss'!G9</f>
        <v>89239476.371226862</v>
      </c>
      <c r="I171" s="57">
        <f>'6.Cons Profit &amp; Loss'!H9</f>
        <v>103099790.22888434</v>
      </c>
    </row>
    <row r="172" spans="2:9">
      <c r="B172" s="33" t="str">
        <f t="shared" si="24"/>
        <v>Faclitiy 3 - Warehouse</v>
      </c>
      <c r="C172" s="57">
        <f>'6.Cons Profit &amp; Loss'!B10</f>
        <v>0</v>
      </c>
      <c r="D172" s="57">
        <f>'6.Cons Profit &amp; Loss'!C10</f>
        <v>0</v>
      </c>
      <c r="E172" s="57">
        <f>'6.Cons Profit &amp; Loss'!D10</f>
        <v>0</v>
      </c>
      <c r="F172" s="57">
        <f>'6.Cons Profit &amp; Loss'!E10</f>
        <v>0</v>
      </c>
      <c r="G172" s="57">
        <f>'6.Cons Profit &amp; Loss'!F10</f>
        <v>0</v>
      </c>
      <c r="H172" s="57">
        <f>'6.Cons Profit &amp; Loss'!G10</f>
        <v>0</v>
      </c>
      <c r="I172" s="57">
        <f>'6.Cons Profit &amp; Loss'!H10</f>
        <v>0</v>
      </c>
    </row>
    <row r="173" spans="2:9">
      <c r="B173" s="33" t="str">
        <f t="shared" si="24"/>
        <v xml:space="preserve">Faclitiy 4 - Custom Hiring </v>
      </c>
      <c r="C173" s="57">
        <f>'6.Cons Profit &amp; Loss'!B11</f>
        <v>0</v>
      </c>
      <c r="D173" s="57">
        <f>'6.Cons Profit &amp; Loss'!C11</f>
        <v>0</v>
      </c>
      <c r="E173" s="57">
        <f>'6.Cons Profit &amp; Loss'!D11</f>
        <v>0</v>
      </c>
      <c r="F173" s="57">
        <f>'6.Cons Profit &amp; Loss'!E11</f>
        <v>0</v>
      </c>
      <c r="G173" s="57">
        <f>'6.Cons Profit &amp; Loss'!F11</f>
        <v>0</v>
      </c>
      <c r="H173" s="57">
        <f>'6.Cons Profit &amp; Loss'!G11</f>
        <v>0</v>
      </c>
      <c r="I173" s="57">
        <f>'6.Cons Profit &amp; Loss'!H11</f>
        <v>0</v>
      </c>
    </row>
    <row r="174" spans="2:9" ht="30">
      <c r="B174" s="33" t="str">
        <f t="shared" si="24"/>
        <v>Faclitiy 5 - Agri Input Centre</v>
      </c>
      <c r="C174" s="57">
        <f>'6.Cons Profit &amp; Loss'!B12</f>
        <v>0</v>
      </c>
      <c r="D174" s="57">
        <f>'6.Cons Profit &amp; Loss'!C12</f>
        <v>0</v>
      </c>
      <c r="E174" s="57">
        <f>'6.Cons Profit &amp; Loss'!D12</f>
        <v>0</v>
      </c>
      <c r="F174" s="57">
        <f>'6.Cons Profit &amp; Loss'!E12</f>
        <v>0</v>
      </c>
      <c r="G174" s="57">
        <f>'6.Cons Profit &amp; Loss'!F12</f>
        <v>0</v>
      </c>
      <c r="H174" s="57">
        <f>'6.Cons Profit &amp; Loss'!G12</f>
        <v>0</v>
      </c>
      <c r="I174" s="57">
        <f>'6.Cons Profit &amp; Loss'!H12</f>
        <v>0</v>
      </c>
    </row>
    <row r="175" spans="2:9" ht="30">
      <c r="B175" s="33" t="str">
        <f t="shared" si="24"/>
        <v>Facility 3 - Cashew Apple Processing</v>
      </c>
      <c r="C175" s="57">
        <f>'6.Cons Profit &amp; Loss'!B13</f>
        <v>2933279.9999999995</v>
      </c>
      <c r="D175" s="57">
        <f>'6.Cons Profit &amp; Loss'!C13</f>
        <v>3945185.9999999995</v>
      </c>
      <c r="E175" s="57">
        <f>'6.Cons Profit &amp; Loss'!D13</f>
        <v>4975935.3</v>
      </c>
      <c r="F175" s="57">
        <f>'6.Cons Profit &amp; Loss'!E13</f>
        <v>6099896.5650000004</v>
      </c>
      <c r="G175" s="57">
        <f>'6.Cons Profit &amp; Loss'!F13</f>
        <v>7323814.1182500003</v>
      </c>
      <c r="H175" s="57">
        <f>'6.Cons Profit &amp; Loss'!G13</f>
        <v>8654873.6854125019</v>
      </c>
      <c r="I175" s="57">
        <f>'6.Cons Profit &amp; Loss'!H13</f>
        <v>10100729.673995629</v>
      </c>
    </row>
    <row r="176" spans="2:9">
      <c r="B176" s="55">
        <f t="shared" si="24"/>
        <v>0</v>
      </c>
      <c r="C176" s="57">
        <f>'6.Cons Profit &amp; Loss'!B14</f>
        <v>0</v>
      </c>
      <c r="D176" s="57">
        <f>'6.Cons Profit &amp; Loss'!C14</f>
        <v>0</v>
      </c>
      <c r="E176" s="57">
        <f>'6.Cons Profit &amp; Loss'!D14</f>
        <v>0</v>
      </c>
      <c r="F176" s="57">
        <f>'6.Cons Profit &amp; Loss'!E14</f>
        <v>0</v>
      </c>
      <c r="G176" s="57">
        <f>'6.Cons Profit &amp; Loss'!F14</f>
        <v>0</v>
      </c>
      <c r="H176" s="57">
        <f>'6.Cons Profit &amp; Loss'!G14</f>
        <v>0</v>
      </c>
      <c r="I176" s="57">
        <f>'6.Cons Profit &amp; Loss'!H14</f>
        <v>0</v>
      </c>
    </row>
    <row r="177" spans="2:13">
      <c r="B177" s="33" t="s">
        <v>350</v>
      </c>
      <c r="C177" s="57">
        <f>SUM(C170:C176)</f>
        <v>77209146.294</v>
      </c>
      <c r="D177" s="57">
        <f t="shared" ref="D177:I177" si="25">SUM(D170:D176)</f>
        <v>95706525.661740005</v>
      </c>
      <c r="E177" s="57">
        <f t="shared" si="25"/>
        <v>113632406.163927</v>
      </c>
      <c r="F177" s="57">
        <f t="shared" si="25"/>
        <v>133111608.40217838</v>
      </c>
      <c r="G177" s="57">
        <f t="shared" si="25"/>
        <v>154254649.84884506</v>
      </c>
      <c r="H177" s="57">
        <f t="shared" si="25"/>
        <v>177179216.41917297</v>
      </c>
      <c r="I177" s="57">
        <f t="shared" si="25"/>
        <v>202010603.02191156</v>
      </c>
    </row>
    <row r="178" spans="2:13">
      <c r="B178" s="33" t="s">
        <v>351</v>
      </c>
      <c r="C178" s="57"/>
      <c r="D178" s="57"/>
      <c r="E178" s="57"/>
      <c r="F178" s="57"/>
      <c r="G178" s="57"/>
      <c r="H178" s="57"/>
      <c r="I178" s="57"/>
    </row>
    <row r="179" spans="2:13" ht="45">
      <c r="B179" s="33" t="s">
        <v>352</v>
      </c>
      <c r="C179" s="57">
        <f>'6.Cons Profit &amp; Loss'!B36</f>
        <v>2350000</v>
      </c>
      <c r="D179" s="57">
        <f>'6.Cons Profit &amp; Loss'!C36</f>
        <v>2467500</v>
      </c>
      <c r="E179" s="57">
        <f>'6.Cons Profit &amp; Loss'!D36</f>
        <v>2590875</v>
      </c>
      <c r="F179" s="57">
        <f>'6.Cons Profit &amp; Loss'!E36</f>
        <v>2720418.7500000005</v>
      </c>
      <c r="G179" s="57">
        <f>'6.Cons Profit &amp; Loss'!F36</f>
        <v>2856439.6875000005</v>
      </c>
      <c r="H179" s="57">
        <f>'6.Cons Profit &amp; Loss'!G36</f>
        <v>2999261.6718750005</v>
      </c>
      <c r="I179" s="57">
        <f>'6.Cons Profit &amp; Loss'!H36</f>
        <v>3149224.7554687513</v>
      </c>
    </row>
    <row r="180" spans="2:13">
      <c r="B180" s="33" t="s">
        <v>311</v>
      </c>
      <c r="C180" s="57">
        <f>'6.Cons Profit &amp; Loss'!B25*(1-$M$127)</f>
        <v>67734341.371536002</v>
      </c>
      <c r="D180" s="57">
        <f>'6.Cons Profit &amp; Loss'!C25*(1-$M$127)</f>
        <v>84460814.175321385</v>
      </c>
      <c r="E180" s="57">
        <f>'6.Cons Profit &amp; Loss'!D25*(1-$M$127)</f>
        <v>100088565.81968866</v>
      </c>
      <c r="F180" s="57">
        <f>'6.Cons Profit &amp; Loss'!E25*(1-$M$127)</f>
        <v>117067940.5930544</v>
      </c>
      <c r="G180" s="57">
        <f>'6.Cons Profit &amp; Loss'!F25*(1-$M$127)</f>
        <v>135495031.42920747</v>
      </c>
      <c r="H180" s="57">
        <f>'6.Cons Profit &amp; Loss'!G25*(1-$M$127)</f>
        <v>155472161.49749324</v>
      </c>
      <c r="I180" s="57">
        <f>'6.Cons Profit &amp; Loss'!H25*(1-$M$127)</f>
        <v>177108266.99403456</v>
      </c>
    </row>
    <row r="181" spans="2:13">
      <c r="B181" s="33" t="s">
        <v>353</v>
      </c>
      <c r="C181" s="57">
        <f t="shared" ref="C181:I181" si="26">SUM(C179:C180)</f>
        <v>70084341.371536002</v>
      </c>
      <c r="D181" s="57">
        <f t="shared" si="26"/>
        <v>86928314.175321385</v>
      </c>
      <c r="E181" s="57">
        <f t="shared" si="26"/>
        <v>102679440.81968866</v>
      </c>
      <c r="F181" s="57">
        <f t="shared" si="26"/>
        <v>119788359.3430544</v>
      </c>
      <c r="G181" s="57">
        <f t="shared" si="26"/>
        <v>138351471.11670747</v>
      </c>
      <c r="H181" s="57">
        <f t="shared" si="26"/>
        <v>158471423.16936824</v>
      </c>
      <c r="I181" s="57">
        <f t="shared" si="26"/>
        <v>180257491.74950331</v>
      </c>
    </row>
    <row r="182" spans="2:13">
      <c r="B182" s="58" t="s">
        <v>354</v>
      </c>
      <c r="C182" s="233">
        <f t="shared" ref="C182:I182" si="27">+C177-C181</f>
        <v>7124804.9224639982</v>
      </c>
      <c r="D182" s="233">
        <f t="shared" si="27"/>
        <v>8778211.4864186198</v>
      </c>
      <c r="E182" s="233">
        <f t="shared" si="27"/>
        <v>10952965.344238341</v>
      </c>
      <c r="F182" s="233">
        <f t="shared" si="27"/>
        <v>13323249.059123978</v>
      </c>
      <c r="G182" s="233">
        <f t="shared" si="27"/>
        <v>15903178.732137591</v>
      </c>
      <c r="H182" s="233">
        <f t="shared" si="27"/>
        <v>18707793.249804735</v>
      </c>
      <c r="I182" s="233">
        <f t="shared" si="27"/>
        <v>21753111.272408247</v>
      </c>
    </row>
    <row r="184" spans="2:13" ht="41.1" customHeight="1">
      <c r="B184" s="418" t="s">
        <v>516</v>
      </c>
      <c r="C184" s="418"/>
      <c r="D184" s="418"/>
      <c r="E184" s="418"/>
      <c r="F184" s="418"/>
      <c r="G184" s="418"/>
      <c r="H184" s="418"/>
      <c r="I184" s="418"/>
      <c r="J184" s="240"/>
      <c r="K184" s="240"/>
      <c r="L184" s="240"/>
      <c r="M184" s="240"/>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paperSize="9" scale="58" orientation="portrait" r:id="rId2"/>
</worksheet>
</file>

<file path=xl/worksheets/sheet11.xml><?xml version="1.0" encoding="utf-8"?>
<worksheet xmlns="http://schemas.openxmlformats.org/spreadsheetml/2006/main" xmlns:r="http://schemas.openxmlformats.org/officeDocument/2006/relationships">
  <dimension ref="A1:Z119"/>
  <sheetViews>
    <sheetView view="pageBreakPreview" topLeftCell="A22" zoomScale="80" zoomScaleSheetLayoutView="80" workbookViewId="0">
      <selection activeCell="A42" sqref="A42"/>
    </sheetView>
  </sheetViews>
  <sheetFormatPr defaultRowHeight="15"/>
  <cols>
    <col min="1" max="1" width="49.28515625" bestFit="1" customWidth="1"/>
    <col min="2" max="2" width="23.28515625" bestFit="1" customWidth="1"/>
    <col min="3" max="3" width="11.5703125" customWidth="1"/>
    <col min="4" max="4" width="18.7109375" customWidth="1"/>
    <col min="5" max="5" width="15.28515625" customWidth="1"/>
    <col min="6" max="7" width="15.7109375" customWidth="1"/>
    <col min="8" max="8" width="21.28515625" customWidth="1"/>
    <col min="9" max="9" width="11.42578125" bestFit="1" customWidth="1"/>
    <col min="10" max="10" width="9.28515625" bestFit="1" customWidth="1"/>
  </cols>
  <sheetData>
    <row r="1" spans="1:26" ht="18.75">
      <c r="A1" s="381" t="s">
        <v>571</v>
      </c>
      <c r="B1" s="381"/>
      <c r="C1" s="381"/>
      <c r="D1" s="381"/>
      <c r="E1" s="381"/>
      <c r="F1" s="381"/>
      <c r="G1" s="381"/>
      <c r="H1" s="381"/>
    </row>
    <row r="2" spans="1:26">
      <c r="B2" s="4"/>
    </row>
    <row r="3" spans="1:26" ht="18.75">
      <c r="A3" s="427" t="s">
        <v>544</v>
      </c>
      <c r="B3" s="427"/>
    </row>
    <row r="4" spans="1:26">
      <c r="A4" s="205" t="s">
        <v>0</v>
      </c>
      <c r="B4" s="215" t="s">
        <v>387</v>
      </c>
      <c r="C4" s="216"/>
      <c r="D4" s="216"/>
      <c r="E4" s="216"/>
      <c r="F4" s="216"/>
      <c r="G4" s="216"/>
      <c r="H4" s="216"/>
    </row>
    <row r="5" spans="1:26">
      <c r="A5" s="9" t="s">
        <v>480</v>
      </c>
      <c r="B5" s="201">
        <v>400</v>
      </c>
      <c r="D5" s="217"/>
      <c r="E5" s="217"/>
      <c r="F5" s="217"/>
      <c r="G5" s="217"/>
      <c r="H5" s="217"/>
    </row>
    <row r="6" spans="1:26">
      <c r="A6" s="9" t="s">
        <v>481</v>
      </c>
      <c r="B6" s="201">
        <v>300</v>
      </c>
      <c r="D6" s="217"/>
      <c r="E6" s="217"/>
      <c r="F6" s="217"/>
      <c r="G6" s="217"/>
      <c r="H6" s="217"/>
    </row>
    <row r="7" spans="1:26">
      <c r="A7" s="2" t="s">
        <v>1</v>
      </c>
      <c r="B7" s="2">
        <f>B5+B6</f>
        <v>700</v>
      </c>
      <c r="C7" s="5"/>
      <c r="D7" s="218"/>
      <c r="E7" s="218"/>
      <c r="F7" s="218"/>
      <c r="G7" s="218"/>
      <c r="H7" s="218"/>
    </row>
    <row r="8" spans="1:26">
      <c r="A8" s="2" t="s">
        <v>482</v>
      </c>
      <c r="B8" s="230">
        <v>1</v>
      </c>
      <c r="C8" s="5"/>
      <c r="D8" s="5"/>
      <c r="E8" s="5"/>
      <c r="F8" s="5"/>
      <c r="G8" s="5"/>
      <c r="H8" s="5"/>
    </row>
    <row r="9" spans="1:26">
      <c r="A9" s="2" t="s">
        <v>487</v>
      </c>
      <c r="B9" s="2">
        <f>B7*B8</f>
        <v>700</v>
      </c>
      <c r="C9" s="218"/>
      <c r="D9" s="218"/>
      <c r="E9" s="218"/>
      <c r="F9" s="218"/>
      <c r="G9" s="218"/>
      <c r="H9" s="218"/>
    </row>
    <row r="10" spans="1:26">
      <c r="J10" t="s">
        <v>452</v>
      </c>
      <c r="O10" t="s">
        <v>448</v>
      </c>
      <c r="U10" t="s">
        <v>449</v>
      </c>
      <c r="Y10" t="s">
        <v>450</v>
      </c>
      <c r="Z10" t="s">
        <v>451</v>
      </c>
    </row>
    <row r="11" spans="1:26" ht="18.75">
      <c r="A11" s="381" t="s">
        <v>545</v>
      </c>
      <c r="B11" s="381"/>
      <c r="C11" s="381"/>
      <c r="D11" s="381"/>
      <c r="E11" s="381"/>
      <c r="F11" s="381"/>
      <c r="G11" s="381"/>
      <c r="H11" s="381"/>
      <c r="I11" s="5"/>
      <c r="J11" s="5"/>
      <c r="K11" s="5"/>
      <c r="L11" s="5"/>
      <c r="M11" s="5"/>
      <c r="N11" s="5"/>
      <c r="O11" s="5"/>
      <c r="P11" s="5"/>
    </row>
    <row r="12" spans="1:26">
      <c r="J12" s="3">
        <v>0.65</v>
      </c>
      <c r="K12" s="213">
        <f>J12+0.05</f>
        <v>0.70000000000000007</v>
      </c>
      <c r="L12" s="213">
        <f t="shared" ref="L12:N12" si="0">K12+0.05</f>
        <v>0.75000000000000011</v>
      </c>
      <c r="M12" s="213">
        <f t="shared" si="0"/>
        <v>0.80000000000000016</v>
      </c>
      <c r="N12" s="213">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05" t="s">
        <v>391</v>
      </c>
      <c r="B13" s="205" t="s">
        <v>392</v>
      </c>
      <c r="C13" s="206" t="s">
        <v>445</v>
      </c>
      <c r="D13" s="206" t="s">
        <v>453</v>
      </c>
      <c r="E13" s="206" t="s">
        <v>454</v>
      </c>
      <c r="F13" s="206" t="s">
        <v>393</v>
      </c>
      <c r="G13" s="206" t="s">
        <v>612</v>
      </c>
      <c r="H13" s="206" t="s">
        <v>394</v>
      </c>
      <c r="O13" s="212" t="s">
        <v>2</v>
      </c>
      <c r="P13" s="212" t="s">
        <v>3</v>
      </c>
      <c r="Q13" s="212" t="s">
        <v>4</v>
      </c>
      <c r="R13" s="212" t="s">
        <v>5</v>
      </c>
      <c r="S13" s="212" t="s">
        <v>6</v>
      </c>
      <c r="T13" s="212" t="s">
        <v>2</v>
      </c>
      <c r="U13" s="212" t="s">
        <v>3</v>
      </c>
      <c r="V13" s="212" t="s">
        <v>4</v>
      </c>
      <c r="W13" s="212" t="s">
        <v>5</v>
      </c>
      <c r="X13" s="212" t="s">
        <v>6</v>
      </c>
    </row>
    <row r="14" spans="1:26">
      <c r="A14" s="431" t="s">
        <v>395</v>
      </c>
      <c r="B14" s="201"/>
      <c r="C14" s="210"/>
      <c r="D14" s="9"/>
      <c r="E14" s="202"/>
      <c r="F14" s="9"/>
      <c r="G14" s="211"/>
      <c r="H14" s="9"/>
      <c r="J14">
        <f>$D$14*J12</f>
        <v>0</v>
      </c>
      <c r="K14">
        <f>$D$14*K12</f>
        <v>0</v>
      </c>
      <c r="L14">
        <f>$D$14*L12</f>
        <v>0</v>
      </c>
      <c r="M14">
        <f>$D$14*M12</f>
        <v>0</v>
      </c>
      <c r="N14">
        <f>$D$14*N12</f>
        <v>0</v>
      </c>
    </row>
    <row r="15" spans="1:26">
      <c r="A15" s="432"/>
      <c r="B15" s="201"/>
      <c r="C15" s="210"/>
      <c r="D15" s="9"/>
      <c r="E15" s="202"/>
      <c r="F15" s="9"/>
      <c r="G15" s="211"/>
      <c r="H15" s="9"/>
    </row>
    <row r="16" spans="1:26">
      <c r="A16" s="432"/>
      <c r="B16" s="201"/>
      <c r="C16" s="210"/>
      <c r="D16" s="9"/>
      <c r="E16" s="202"/>
      <c r="F16" s="9"/>
      <c r="G16" s="211"/>
      <c r="H16" s="9"/>
    </row>
    <row r="17" spans="1:8">
      <c r="A17" s="432"/>
      <c r="B17" s="201"/>
      <c r="C17" s="210"/>
      <c r="D17" s="9"/>
      <c r="E17" s="202"/>
      <c r="F17" s="9"/>
      <c r="G17" s="211"/>
      <c r="H17" s="9"/>
    </row>
    <row r="18" spans="1:8">
      <c r="A18" s="432"/>
      <c r="B18" s="201"/>
      <c r="C18" s="210"/>
      <c r="D18" s="9"/>
      <c r="E18" s="202"/>
      <c r="F18" s="9"/>
      <c r="G18" s="211"/>
      <c r="H18" s="9"/>
    </row>
    <row r="19" spans="1:8">
      <c r="A19" s="432"/>
      <c r="B19" s="201"/>
      <c r="C19" s="210"/>
      <c r="D19" s="9"/>
      <c r="E19" s="202"/>
      <c r="F19" s="9"/>
      <c r="G19" s="211"/>
      <c r="H19" s="9"/>
    </row>
    <row r="20" spans="1:8">
      <c r="A20" s="432"/>
      <c r="B20" s="201"/>
      <c r="C20" s="210"/>
      <c r="D20" s="9"/>
      <c r="E20" s="202"/>
      <c r="F20" s="9"/>
      <c r="G20" s="211"/>
      <c r="H20" s="9"/>
    </row>
    <row r="21" spans="1:8">
      <c r="A21" s="432"/>
      <c r="B21" s="201"/>
      <c r="C21" s="210"/>
      <c r="D21" s="9"/>
      <c r="E21" s="202"/>
      <c r="F21" s="9"/>
      <c r="G21" s="211"/>
      <c r="H21" s="9"/>
    </row>
    <row r="22" spans="1:8">
      <c r="A22" s="433"/>
      <c r="B22" s="201"/>
      <c r="C22" s="210"/>
      <c r="D22" s="9"/>
      <c r="E22" s="202"/>
      <c r="F22" s="9"/>
      <c r="G22" s="211"/>
      <c r="H22" s="9"/>
    </row>
    <row r="23" spans="1:8">
      <c r="A23" s="220" t="s">
        <v>474</v>
      </c>
      <c r="B23" s="224"/>
      <c r="C23" s="225"/>
      <c r="D23" s="9"/>
      <c r="E23" s="202"/>
      <c r="F23" s="9"/>
      <c r="G23" s="211"/>
      <c r="H23" s="9"/>
    </row>
    <row r="24" spans="1:8">
      <c r="A24" s="431" t="s">
        <v>396</v>
      </c>
      <c r="B24" s="201"/>
      <c r="C24" s="210"/>
      <c r="D24" s="9"/>
      <c r="E24" s="202"/>
      <c r="F24" s="9"/>
      <c r="G24" s="211"/>
      <c r="H24" s="9"/>
    </row>
    <row r="25" spans="1:8">
      <c r="A25" s="432"/>
      <c r="B25" s="201"/>
      <c r="C25" s="210"/>
      <c r="D25" s="9"/>
      <c r="E25" s="202"/>
      <c r="F25" s="9"/>
      <c r="G25" s="211"/>
      <c r="H25" s="9"/>
    </row>
    <row r="26" spans="1:8">
      <c r="A26" s="432"/>
      <c r="B26" s="201"/>
      <c r="C26" s="210"/>
      <c r="D26" s="9"/>
      <c r="E26" s="202"/>
      <c r="F26" s="9"/>
      <c r="G26" s="211"/>
      <c r="H26" s="9"/>
    </row>
    <row r="27" spans="1:8">
      <c r="A27" s="432"/>
      <c r="B27" s="201"/>
      <c r="C27" s="210"/>
      <c r="D27" s="9"/>
      <c r="E27" s="202"/>
      <c r="F27" s="9"/>
      <c r="G27" s="211"/>
      <c r="H27" s="9"/>
    </row>
    <row r="28" spans="1:8">
      <c r="A28" s="432"/>
      <c r="B28" s="201"/>
      <c r="C28" s="210"/>
      <c r="D28" s="9"/>
      <c r="E28" s="202"/>
      <c r="F28" s="9"/>
      <c r="G28" s="211"/>
      <c r="H28" s="9"/>
    </row>
    <row r="29" spans="1:8">
      <c r="A29" s="432"/>
      <c r="B29" s="201"/>
      <c r="C29" s="210"/>
      <c r="D29" s="9"/>
      <c r="E29" s="202"/>
      <c r="F29" s="9"/>
      <c r="G29" s="211"/>
      <c r="H29" s="9"/>
    </row>
    <row r="30" spans="1:8">
      <c r="A30" s="432"/>
      <c r="B30" s="201"/>
      <c r="C30" s="210"/>
      <c r="D30" s="9"/>
      <c r="E30" s="202"/>
      <c r="F30" s="9"/>
      <c r="G30" s="211"/>
      <c r="H30" s="9"/>
    </row>
    <row r="31" spans="1:8">
      <c r="A31" s="433"/>
      <c r="B31" s="201"/>
      <c r="C31" s="210"/>
      <c r="D31" s="9"/>
      <c r="E31" s="202"/>
      <c r="F31" s="9"/>
      <c r="G31" s="211"/>
      <c r="H31" s="9"/>
    </row>
    <row r="32" spans="1:8">
      <c r="A32" s="220" t="s">
        <v>473</v>
      </c>
      <c r="B32" s="224"/>
      <c r="C32" s="9"/>
      <c r="D32" s="9"/>
      <c r="E32" s="202"/>
      <c r="F32" s="9"/>
      <c r="G32" s="211"/>
      <c r="H32" s="9"/>
    </row>
    <row r="33" spans="1:8">
      <c r="A33" s="226" t="s">
        <v>459</v>
      </c>
      <c r="B33" s="201"/>
      <c r="C33" s="210"/>
      <c r="D33" s="9"/>
      <c r="E33" s="202"/>
      <c r="F33" s="9"/>
      <c r="G33" s="211"/>
      <c r="H33" s="9"/>
    </row>
    <row r="34" spans="1:8">
      <c r="A34" s="227"/>
      <c r="B34" s="201"/>
      <c r="C34" s="210"/>
      <c r="D34" s="9"/>
      <c r="E34" s="202"/>
      <c r="F34" s="9"/>
      <c r="G34" s="211"/>
      <c r="H34" s="9"/>
    </row>
    <row r="35" spans="1:8">
      <c r="A35" s="227"/>
      <c r="B35" s="201"/>
      <c r="C35" s="210"/>
      <c r="D35" s="9"/>
      <c r="E35" s="202"/>
      <c r="F35" s="9"/>
      <c r="G35" s="211"/>
      <c r="H35" s="9"/>
    </row>
    <row r="36" spans="1:8">
      <c r="A36" s="228"/>
      <c r="B36" s="201"/>
      <c r="C36" s="210"/>
      <c r="D36" s="9"/>
      <c r="E36" s="202"/>
      <c r="F36" s="9"/>
      <c r="G36" s="211"/>
      <c r="H36" s="9"/>
    </row>
    <row r="37" spans="1:8">
      <c r="A37" s="430" t="s">
        <v>397</v>
      </c>
      <c r="B37" s="430"/>
      <c r="C37" s="430"/>
      <c r="D37" s="430"/>
      <c r="E37" s="430"/>
      <c r="F37" s="430"/>
      <c r="G37" s="430"/>
      <c r="H37" s="430"/>
    </row>
    <row r="39" spans="1:8" ht="18.75">
      <c r="A39" s="434" t="s">
        <v>546</v>
      </c>
      <c r="B39" s="435"/>
      <c r="C39" s="435"/>
      <c r="D39" s="435"/>
      <c r="E39" s="435"/>
      <c r="F39" s="435"/>
      <c r="G39" s="435"/>
      <c r="H39" s="436"/>
    </row>
    <row r="40" spans="1:8">
      <c r="A40" s="437" t="s">
        <v>0</v>
      </c>
      <c r="B40" s="221">
        <v>0.3</v>
      </c>
      <c r="C40" s="221">
        <f>B40+0.05</f>
        <v>0.35</v>
      </c>
      <c r="D40" s="221">
        <f t="shared" ref="D40:G40" si="3">C40+0.05</f>
        <v>0.39999999999999997</v>
      </c>
      <c r="E40" s="221">
        <f t="shared" si="3"/>
        <v>0.44999999999999996</v>
      </c>
      <c r="F40" s="221">
        <f t="shared" si="3"/>
        <v>0.49999999999999994</v>
      </c>
      <c r="G40" s="221">
        <f t="shared" si="3"/>
        <v>0.54999999999999993</v>
      </c>
      <c r="H40" s="221">
        <f>G40+0.05</f>
        <v>0.6</v>
      </c>
    </row>
    <row r="41" spans="1:8">
      <c r="A41" s="438"/>
      <c r="B41" s="215" t="s">
        <v>2</v>
      </c>
      <c r="C41" s="215" t="s">
        <v>3</v>
      </c>
      <c r="D41" s="215" t="s">
        <v>4</v>
      </c>
      <c r="E41" s="215" t="s">
        <v>5</v>
      </c>
      <c r="F41" s="215" t="s">
        <v>6</v>
      </c>
      <c r="G41" s="215" t="s">
        <v>169</v>
      </c>
      <c r="H41" s="215" t="s">
        <v>168</v>
      </c>
    </row>
    <row r="42" spans="1:8">
      <c r="A42" s="9">
        <f t="shared" ref="A42:A50" si="4">B14</f>
        <v>0</v>
      </c>
      <c r="B42" s="9">
        <f t="shared" ref="B42:B50" si="5">H14*$B$40</f>
        <v>0</v>
      </c>
      <c r="C42" s="9">
        <f t="shared" ref="C42:H51" si="6">(B42/B$40)*C$40</f>
        <v>0</v>
      </c>
      <c r="D42" s="9">
        <f t="shared" si="6"/>
        <v>0</v>
      </c>
      <c r="E42" s="9">
        <f t="shared" si="6"/>
        <v>0</v>
      </c>
      <c r="F42" s="9">
        <f t="shared" si="6"/>
        <v>0</v>
      </c>
      <c r="G42" s="9">
        <f t="shared" si="6"/>
        <v>0</v>
      </c>
      <c r="H42" s="9">
        <f t="shared" si="6"/>
        <v>0</v>
      </c>
    </row>
    <row r="43" spans="1:8">
      <c r="A43" s="9">
        <f t="shared" si="4"/>
        <v>0</v>
      </c>
      <c r="B43" s="9">
        <f t="shared" si="5"/>
        <v>0</v>
      </c>
      <c r="C43" s="9">
        <f t="shared" si="6"/>
        <v>0</v>
      </c>
      <c r="D43" s="9">
        <f t="shared" si="6"/>
        <v>0</v>
      </c>
      <c r="E43" s="9">
        <f t="shared" si="6"/>
        <v>0</v>
      </c>
      <c r="F43" s="9">
        <f t="shared" si="6"/>
        <v>0</v>
      </c>
      <c r="G43" s="9">
        <f t="shared" si="6"/>
        <v>0</v>
      </c>
      <c r="H43" s="9">
        <f t="shared" si="6"/>
        <v>0</v>
      </c>
    </row>
    <row r="44" spans="1:8">
      <c r="A44" s="9">
        <f t="shared" si="4"/>
        <v>0</v>
      </c>
      <c r="B44" s="9">
        <f t="shared" si="5"/>
        <v>0</v>
      </c>
      <c r="C44" s="9">
        <f t="shared" si="6"/>
        <v>0</v>
      </c>
      <c r="D44" s="9">
        <f t="shared" si="6"/>
        <v>0</v>
      </c>
      <c r="E44" s="9">
        <f t="shared" si="6"/>
        <v>0</v>
      </c>
      <c r="F44" s="9">
        <f t="shared" si="6"/>
        <v>0</v>
      </c>
      <c r="G44" s="9">
        <f t="shared" si="6"/>
        <v>0</v>
      </c>
      <c r="H44" s="9">
        <f t="shared" si="6"/>
        <v>0</v>
      </c>
    </row>
    <row r="45" spans="1:8">
      <c r="A45" s="9">
        <f t="shared" si="4"/>
        <v>0</v>
      </c>
      <c r="B45" s="9">
        <f t="shared" si="5"/>
        <v>0</v>
      </c>
      <c r="C45" s="9">
        <f t="shared" si="6"/>
        <v>0</v>
      </c>
      <c r="D45" s="9">
        <f t="shared" si="6"/>
        <v>0</v>
      </c>
      <c r="E45" s="9">
        <f t="shared" si="6"/>
        <v>0</v>
      </c>
      <c r="F45" s="9">
        <f t="shared" si="6"/>
        <v>0</v>
      </c>
      <c r="G45" s="9">
        <f t="shared" si="6"/>
        <v>0</v>
      </c>
      <c r="H45" s="9">
        <f t="shared" si="6"/>
        <v>0</v>
      </c>
    </row>
    <row r="46" spans="1:8">
      <c r="A46" s="9">
        <f t="shared" si="4"/>
        <v>0</v>
      </c>
      <c r="B46" s="9">
        <f t="shared" si="5"/>
        <v>0</v>
      </c>
      <c r="C46" s="9">
        <f t="shared" si="6"/>
        <v>0</v>
      </c>
      <c r="D46" s="9">
        <f t="shared" si="6"/>
        <v>0</v>
      </c>
      <c r="E46" s="9">
        <f t="shared" si="6"/>
        <v>0</v>
      </c>
      <c r="F46" s="9">
        <f t="shared" si="6"/>
        <v>0</v>
      </c>
      <c r="G46" s="9">
        <f t="shared" si="6"/>
        <v>0</v>
      </c>
      <c r="H46" s="9">
        <f t="shared" si="6"/>
        <v>0</v>
      </c>
    </row>
    <row r="47" spans="1:8">
      <c r="A47" s="9">
        <f t="shared" si="4"/>
        <v>0</v>
      </c>
      <c r="B47" s="9">
        <f t="shared" si="5"/>
        <v>0</v>
      </c>
      <c r="C47" s="9">
        <f t="shared" si="6"/>
        <v>0</v>
      </c>
      <c r="D47" s="9">
        <f t="shared" si="6"/>
        <v>0</v>
      </c>
      <c r="E47" s="9">
        <f t="shared" si="6"/>
        <v>0</v>
      </c>
      <c r="F47" s="9">
        <f t="shared" si="6"/>
        <v>0</v>
      </c>
      <c r="G47" s="9">
        <f t="shared" si="6"/>
        <v>0</v>
      </c>
      <c r="H47" s="9">
        <f t="shared" si="6"/>
        <v>0</v>
      </c>
    </row>
    <row r="48" spans="1:8">
      <c r="A48" s="9">
        <f t="shared" si="4"/>
        <v>0</v>
      </c>
      <c r="B48" s="9">
        <f t="shared" si="5"/>
        <v>0</v>
      </c>
      <c r="C48" s="9">
        <f t="shared" si="6"/>
        <v>0</v>
      </c>
      <c r="D48" s="9">
        <f t="shared" si="6"/>
        <v>0</v>
      </c>
      <c r="E48" s="9">
        <f t="shared" si="6"/>
        <v>0</v>
      </c>
      <c r="F48" s="9">
        <f t="shared" si="6"/>
        <v>0</v>
      </c>
      <c r="G48" s="9">
        <f t="shared" si="6"/>
        <v>0</v>
      </c>
      <c r="H48" s="9">
        <f t="shared" si="6"/>
        <v>0</v>
      </c>
    </row>
    <row r="49" spans="1:8">
      <c r="A49" s="9">
        <f t="shared" si="4"/>
        <v>0</v>
      </c>
      <c r="B49" s="9">
        <f t="shared" si="5"/>
        <v>0</v>
      </c>
      <c r="C49" s="9">
        <f t="shared" si="6"/>
        <v>0</v>
      </c>
      <c r="D49" s="9">
        <f t="shared" si="6"/>
        <v>0</v>
      </c>
      <c r="E49" s="9">
        <f t="shared" si="6"/>
        <v>0</v>
      </c>
      <c r="F49" s="9">
        <f t="shared" si="6"/>
        <v>0</v>
      </c>
      <c r="G49" s="9">
        <f t="shared" si="6"/>
        <v>0</v>
      </c>
      <c r="H49" s="9">
        <f t="shared" si="6"/>
        <v>0</v>
      </c>
    </row>
    <row r="50" spans="1:8">
      <c r="A50" s="9">
        <f t="shared" si="4"/>
        <v>0</v>
      </c>
      <c r="B50" s="9">
        <f t="shared" si="5"/>
        <v>0</v>
      </c>
      <c r="C50" s="9">
        <f t="shared" si="6"/>
        <v>0</v>
      </c>
      <c r="D50" s="9">
        <f t="shared" si="6"/>
        <v>0</v>
      </c>
      <c r="E50" s="9">
        <f t="shared" si="6"/>
        <v>0</v>
      </c>
      <c r="F50" s="9">
        <f t="shared" si="6"/>
        <v>0</v>
      </c>
      <c r="G50" s="9">
        <f t="shared" si="6"/>
        <v>0</v>
      </c>
      <c r="H50" s="9">
        <f t="shared" si="6"/>
        <v>0</v>
      </c>
    </row>
    <row r="51" spans="1:8">
      <c r="A51" s="9">
        <f t="shared" ref="A51:A58" si="7">B24</f>
        <v>0</v>
      </c>
      <c r="B51" s="9">
        <f t="shared" ref="B51:B58" si="8">H24*$B$40</f>
        <v>0</v>
      </c>
      <c r="C51" s="9">
        <f t="shared" si="6"/>
        <v>0</v>
      </c>
      <c r="D51" s="9">
        <f t="shared" si="6"/>
        <v>0</v>
      </c>
      <c r="E51" s="9">
        <f t="shared" si="6"/>
        <v>0</v>
      </c>
      <c r="F51" s="9">
        <f t="shared" si="6"/>
        <v>0</v>
      </c>
      <c r="G51" s="9">
        <f t="shared" si="6"/>
        <v>0</v>
      </c>
      <c r="H51" s="9">
        <f t="shared" si="6"/>
        <v>0</v>
      </c>
    </row>
    <row r="52" spans="1:8">
      <c r="A52" s="9">
        <f t="shared" si="7"/>
        <v>0</v>
      </c>
      <c r="B52" s="9">
        <f t="shared" si="8"/>
        <v>0</v>
      </c>
      <c r="C52" s="9">
        <f t="shared" ref="C52:H61" si="9">(B52/B$40)*C$40</f>
        <v>0</v>
      </c>
      <c r="D52" s="9">
        <f t="shared" si="9"/>
        <v>0</v>
      </c>
      <c r="E52" s="9">
        <f t="shared" si="9"/>
        <v>0</v>
      </c>
      <c r="F52" s="9">
        <f t="shared" si="9"/>
        <v>0</v>
      </c>
      <c r="G52" s="9">
        <f t="shared" si="9"/>
        <v>0</v>
      </c>
      <c r="H52" s="9">
        <f t="shared" si="9"/>
        <v>0</v>
      </c>
    </row>
    <row r="53" spans="1:8">
      <c r="A53" s="9">
        <f t="shared" si="7"/>
        <v>0</v>
      </c>
      <c r="B53" s="9">
        <f t="shared" si="8"/>
        <v>0</v>
      </c>
      <c r="C53" s="9">
        <f t="shared" si="9"/>
        <v>0</v>
      </c>
      <c r="D53" s="9">
        <f t="shared" si="9"/>
        <v>0</v>
      </c>
      <c r="E53" s="9">
        <f t="shared" si="9"/>
        <v>0</v>
      </c>
      <c r="F53" s="9">
        <f t="shared" si="9"/>
        <v>0</v>
      </c>
      <c r="G53" s="9">
        <f t="shared" si="9"/>
        <v>0</v>
      </c>
      <c r="H53" s="9">
        <f t="shared" si="9"/>
        <v>0</v>
      </c>
    </row>
    <row r="54" spans="1:8">
      <c r="A54" s="9">
        <f t="shared" si="7"/>
        <v>0</v>
      </c>
      <c r="B54" s="9">
        <f t="shared" si="8"/>
        <v>0</v>
      </c>
      <c r="C54" s="9">
        <f t="shared" si="9"/>
        <v>0</v>
      </c>
      <c r="D54" s="9">
        <f t="shared" si="9"/>
        <v>0</v>
      </c>
      <c r="E54" s="9">
        <f t="shared" si="9"/>
        <v>0</v>
      </c>
      <c r="F54" s="9">
        <f t="shared" si="9"/>
        <v>0</v>
      </c>
      <c r="G54" s="9">
        <f t="shared" si="9"/>
        <v>0</v>
      </c>
      <c r="H54" s="9">
        <f t="shared" si="9"/>
        <v>0</v>
      </c>
    </row>
    <row r="55" spans="1:8">
      <c r="A55" s="9">
        <f t="shared" si="7"/>
        <v>0</v>
      </c>
      <c r="B55" s="9">
        <f t="shared" si="8"/>
        <v>0</v>
      </c>
      <c r="C55" s="9">
        <f t="shared" si="9"/>
        <v>0</v>
      </c>
      <c r="D55" s="9">
        <f t="shared" si="9"/>
        <v>0</v>
      </c>
      <c r="E55" s="9">
        <f t="shared" si="9"/>
        <v>0</v>
      </c>
      <c r="F55" s="9">
        <f t="shared" si="9"/>
        <v>0</v>
      </c>
      <c r="G55" s="9">
        <f t="shared" si="9"/>
        <v>0</v>
      </c>
      <c r="H55" s="9">
        <f t="shared" si="9"/>
        <v>0</v>
      </c>
    </row>
    <row r="56" spans="1:8">
      <c r="A56" s="9">
        <f t="shared" si="7"/>
        <v>0</v>
      </c>
      <c r="B56" s="9">
        <f t="shared" si="8"/>
        <v>0</v>
      </c>
      <c r="C56" s="9">
        <f t="shared" si="9"/>
        <v>0</v>
      </c>
      <c r="D56" s="9">
        <f t="shared" si="9"/>
        <v>0</v>
      </c>
      <c r="E56" s="9">
        <f t="shared" si="9"/>
        <v>0</v>
      </c>
      <c r="F56" s="9">
        <f t="shared" si="9"/>
        <v>0</v>
      </c>
      <c r="G56" s="9">
        <f t="shared" si="9"/>
        <v>0</v>
      </c>
      <c r="H56" s="9">
        <f t="shared" si="9"/>
        <v>0</v>
      </c>
    </row>
    <row r="57" spans="1:8">
      <c r="A57" s="9">
        <f t="shared" si="7"/>
        <v>0</v>
      </c>
      <c r="B57" s="9">
        <f t="shared" si="8"/>
        <v>0</v>
      </c>
      <c r="C57" s="9">
        <f t="shared" si="9"/>
        <v>0</v>
      </c>
      <c r="D57" s="9">
        <f t="shared" si="9"/>
        <v>0</v>
      </c>
      <c r="E57" s="9">
        <f t="shared" si="9"/>
        <v>0</v>
      </c>
      <c r="F57" s="9">
        <f t="shared" si="9"/>
        <v>0</v>
      </c>
      <c r="G57" s="9">
        <f t="shared" si="9"/>
        <v>0</v>
      </c>
      <c r="H57" s="9">
        <f t="shared" si="9"/>
        <v>0</v>
      </c>
    </row>
    <row r="58" spans="1:8">
      <c r="A58" s="9">
        <f t="shared" si="7"/>
        <v>0</v>
      </c>
      <c r="B58" s="9">
        <f t="shared" si="8"/>
        <v>0</v>
      </c>
      <c r="C58" s="9">
        <f t="shared" si="9"/>
        <v>0</v>
      </c>
      <c r="D58" s="9">
        <f t="shared" si="9"/>
        <v>0</v>
      </c>
      <c r="E58" s="9">
        <f t="shared" si="9"/>
        <v>0</v>
      </c>
      <c r="F58" s="9">
        <f t="shared" si="9"/>
        <v>0</v>
      </c>
      <c r="G58" s="9">
        <f t="shared" si="9"/>
        <v>0</v>
      </c>
      <c r="H58" s="9">
        <f t="shared" si="9"/>
        <v>0</v>
      </c>
    </row>
    <row r="59" spans="1:8">
      <c r="A59" s="9">
        <f>B33</f>
        <v>0</v>
      </c>
      <c r="B59" s="9">
        <f>H33*$B$40</f>
        <v>0</v>
      </c>
      <c r="C59" s="9">
        <f t="shared" si="9"/>
        <v>0</v>
      </c>
      <c r="D59" s="9">
        <f t="shared" si="9"/>
        <v>0</v>
      </c>
      <c r="E59" s="9">
        <f t="shared" si="9"/>
        <v>0</v>
      </c>
      <c r="F59" s="9">
        <f t="shared" si="9"/>
        <v>0</v>
      </c>
      <c r="G59" s="9">
        <f t="shared" si="9"/>
        <v>0</v>
      </c>
      <c r="H59" s="9">
        <f t="shared" si="9"/>
        <v>0</v>
      </c>
    </row>
    <row r="60" spans="1:8">
      <c r="A60" s="9">
        <f>B34</f>
        <v>0</v>
      </c>
      <c r="B60" s="9">
        <f>H34*$B$40</f>
        <v>0</v>
      </c>
      <c r="C60" s="9">
        <f t="shared" si="9"/>
        <v>0</v>
      </c>
      <c r="D60" s="9">
        <f t="shared" si="9"/>
        <v>0</v>
      </c>
      <c r="E60" s="9">
        <f t="shared" si="9"/>
        <v>0</v>
      </c>
      <c r="F60" s="9">
        <f t="shared" si="9"/>
        <v>0</v>
      </c>
      <c r="G60" s="9">
        <f t="shared" si="9"/>
        <v>0</v>
      </c>
      <c r="H60" s="9">
        <f t="shared" si="9"/>
        <v>0</v>
      </c>
    </row>
    <row r="61" spans="1:8">
      <c r="A61" s="9">
        <f>B35</f>
        <v>0</v>
      </c>
      <c r="B61" s="9">
        <f>H35*$B$40</f>
        <v>0</v>
      </c>
      <c r="C61" s="9">
        <f t="shared" si="9"/>
        <v>0</v>
      </c>
      <c r="D61" s="9">
        <f t="shared" si="9"/>
        <v>0</v>
      </c>
      <c r="E61" s="9">
        <f t="shared" si="9"/>
        <v>0</v>
      </c>
      <c r="F61" s="9">
        <f t="shared" si="9"/>
        <v>0</v>
      </c>
      <c r="G61" s="9">
        <f t="shared" si="9"/>
        <v>0</v>
      </c>
      <c r="H61" s="9">
        <f t="shared" si="9"/>
        <v>0</v>
      </c>
    </row>
    <row r="62" spans="1:8">
      <c r="A62" s="9">
        <f>B36</f>
        <v>0</v>
      </c>
      <c r="B62" s="9">
        <f>H36*$B$40</f>
        <v>0</v>
      </c>
      <c r="C62" s="9">
        <f t="shared" ref="C62:H62" si="10">(B62/B$40)*C$40</f>
        <v>0</v>
      </c>
      <c r="D62" s="9">
        <f t="shared" si="10"/>
        <v>0</v>
      </c>
      <c r="E62" s="9">
        <f t="shared" si="10"/>
        <v>0</v>
      </c>
      <c r="F62" s="9">
        <f t="shared" si="10"/>
        <v>0</v>
      </c>
      <c r="G62" s="9">
        <f t="shared" si="10"/>
        <v>0</v>
      </c>
      <c r="H62" s="9">
        <f t="shared" si="10"/>
        <v>0</v>
      </c>
    </row>
    <row r="64" spans="1:8" ht="18.75">
      <c r="A64" s="439" t="s">
        <v>547</v>
      </c>
      <c r="B64" s="440"/>
      <c r="C64" s="440"/>
      <c r="D64" s="440"/>
      <c r="E64" s="440"/>
      <c r="F64" s="440"/>
      <c r="G64" s="440"/>
      <c r="H64" s="441"/>
    </row>
    <row r="65" spans="1:8">
      <c r="A65" s="442" t="s">
        <v>0</v>
      </c>
      <c r="B65" s="222">
        <v>0.1</v>
      </c>
      <c r="C65" s="222">
        <f>B65+0.05</f>
        <v>0.15000000000000002</v>
      </c>
      <c r="D65" s="222">
        <f t="shared" ref="D65:G65" si="11">C65+0.05</f>
        <v>0.2</v>
      </c>
      <c r="E65" s="222">
        <f t="shared" si="11"/>
        <v>0.25</v>
      </c>
      <c r="F65" s="222">
        <f t="shared" si="11"/>
        <v>0.3</v>
      </c>
      <c r="G65" s="222">
        <f t="shared" si="11"/>
        <v>0.35</v>
      </c>
      <c r="H65" s="222">
        <f>G65+0.05</f>
        <v>0.39999999999999997</v>
      </c>
    </row>
    <row r="66" spans="1:8">
      <c r="A66" s="443"/>
      <c r="B66" s="215" t="s">
        <v>2</v>
      </c>
      <c r="C66" s="215" t="s">
        <v>3</v>
      </c>
      <c r="D66" s="215" t="s">
        <v>4</v>
      </c>
      <c r="E66" s="215" t="s">
        <v>5</v>
      </c>
      <c r="F66" s="215" t="s">
        <v>6</v>
      </c>
      <c r="G66" s="215" t="s">
        <v>169</v>
      </c>
      <c r="H66" s="215" t="s">
        <v>168</v>
      </c>
    </row>
    <row r="67" spans="1:8">
      <c r="A67" s="9">
        <f t="shared" ref="A67:A87" si="12">A42</f>
        <v>0</v>
      </c>
      <c r="B67" s="9">
        <f>H14*$B$65*0</f>
        <v>0</v>
      </c>
      <c r="C67" s="9">
        <f>(B67/B$65)*C$65</f>
        <v>0</v>
      </c>
      <c r="D67" s="9">
        <f t="shared" ref="D67:H68" si="13">(C67/C$65)*D$65</f>
        <v>0</v>
      </c>
      <c r="E67" s="9">
        <f t="shared" si="13"/>
        <v>0</v>
      </c>
      <c r="F67" s="9">
        <f t="shared" si="13"/>
        <v>0</v>
      </c>
      <c r="G67" s="9">
        <f t="shared" si="13"/>
        <v>0</v>
      </c>
      <c r="H67" s="9">
        <f t="shared" si="13"/>
        <v>0</v>
      </c>
    </row>
    <row r="68" spans="1:8">
      <c r="A68" s="9">
        <f t="shared" si="12"/>
        <v>0</v>
      </c>
      <c r="B68" s="9">
        <f t="shared" ref="B68:B75" si="14">H15*$B$65</f>
        <v>0</v>
      </c>
      <c r="C68" s="9">
        <f>(B68/B$65)*C$65</f>
        <v>0</v>
      </c>
      <c r="D68" s="9">
        <f t="shared" si="13"/>
        <v>0</v>
      </c>
      <c r="E68" s="9">
        <f t="shared" si="13"/>
        <v>0</v>
      </c>
      <c r="F68" s="9">
        <f t="shared" si="13"/>
        <v>0</v>
      </c>
      <c r="G68" s="9">
        <f t="shared" si="13"/>
        <v>0</v>
      </c>
      <c r="H68" s="9">
        <f t="shared" si="13"/>
        <v>0</v>
      </c>
    </row>
    <row r="69" spans="1:8">
      <c r="A69" s="9">
        <f t="shared" si="12"/>
        <v>0</v>
      </c>
      <c r="B69" s="9">
        <f t="shared" si="14"/>
        <v>0</v>
      </c>
      <c r="C69" s="9">
        <f t="shared" ref="C69:H69" si="15">(B69/B$65)*C$65</f>
        <v>0</v>
      </c>
      <c r="D69" s="9">
        <f t="shared" si="15"/>
        <v>0</v>
      </c>
      <c r="E69" s="9">
        <f t="shared" si="15"/>
        <v>0</v>
      </c>
      <c r="F69" s="9">
        <f t="shared" si="15"/>
        <v>0</v>
      </c>
      <c r="G69" s="9">
        <f t="shared" si="15"/>
        <v>0</v>
      </c>
      <c r="H69" s="9">
        <f t="shared" si="15"/>
        <v>0</v>
      </c>
    </row>
    <row r="70" spans="1:8">
      <c r="A70" s="9">
        <f t="shared" si="12"/>
        <v>0</v>
      </c>
      <c r="B70" s="9">
        <f t="shared" si="14"/>
        <v>0</v>
      </c>
      <c r="C70" s="9">
        <f t="shared" ref="C70:H70" si="16">(B70/B$65)*C$65</f>
        <v>0</v>
      </c>
      <c r="D70" s="9">
        <f t="shared" si="16"/>
        <v>0</v>
      </c>
      <c r="E70" s="9">
        <f t="shared" si="16"/>
        <v>0</v>
      </c>
      <c r="F70" s="9">
        <f t="shared" si="16"/>
        <v>0</v>
      </c>
      <c r="G70" s="9">
        <f t="shared" si="16"/>
        <v>0</v>
      </c>
      <c r="H70" s="9">
        <f t="shared" si="16"/>
        <v>0</v>
      </c>
    </row>
    <row r="71" spans="1:8">
      <c r="A71" s="9">
        <f t="shared" si="12"/>
        <v>0</v>
      </c>
      <c r="B71" s="9">
        <f t="shared" si="14"/>
        <v>0</v>
      </c>
      <c r="C71" s="9">
        <f t="shared" ref="C71:H71" si="17">(B71/B$65)*C$65</f>
        <v>0</v>
      </c>
      <c r="D71" s="9">
        <f t="shared" si="17"/>
        <v>0</v>
      </c>
      <c r="E71" s="9">
        <f t="shared" si="17"/>
        <v>0</v>
      </c>
      <c r="F71" s="9">
        <f t="shared" si="17"/>
        <v>0</v>
      </c>
      <c r="G71" s="9">
        <f t="shared" si="17"/>
        <v>0</v>
      </c>
      <c r="H71" s="9">
        <f t="shared" si="17"/>
        <v>0</v>
      </c>
    </row>
    <row r="72" spans="1:8">
      <c r="A72" s="9">
        <f t="shared" si="12"/>
        <v>0</v>
      </c>
      <c r="B72" s="9">
        <f t="shared" si="14"/>
        <v>0</v>
      </c>
      <c r="C72" s="9">
        <f t="shared" ref="C72:H72" si="18">(B72/B$65)*C$65</f>
        <v>0</v>
      </c>
      <c r="D72" s="9">
        <f t="shared" si="18"/>
        <v>0</v>
      </c>
      <c r="E72" s="9">
        <f t="shared" si="18"/>
        <v>0</v>
      </c>
      <c r="F72" s="9">
        <f t="shared" si="18"/>
        <v>0</v>
      </c>
      <c r="G72" s="9">
        <f t="shared" si="18"/>
        <v>0</v>
      </c>
      <c r="H72" s="9">
        <f t="shared" si="18"/>
        <v>0</v>
      </c>
    </row>
    <row r="73" spans="1:8">
      <c r="A73" s="9">
        <f t="shared" si="12"/>
        <v>0</v>
      </c>
      <c r="B73" s="9">
        <f t="shared" si="14"/>
        <v>0</v>
      </c>
      <c r="C73" s="9">
        <f t="shared" ref="C73:H73" si="19">(B73/B$65)*C$65</f>
        <v>0</v>
      </c>
      <c r="D73" s="9">
        <f t="shared" si="19"/>
        <v>0</v>
      </c>
      <c r="E73" s="9">
        <f t="shared" si="19"/>
        <v>0</v>
      </c>
      <c r="F73" s="9">
        <f t="shared" si="19"/>
        <v>0</v>
      </c>
      <c r="G73" s="9">
        <f t="shared" si="19"/>
        <v>0</v>
      </c>
      <c r="H73" s="9">
        <f t="shared" si="19"/>
        <v>0</v>
      </c>
    </row>
    <row r="74" spans="1:8">
      <c r="A74" s="9">
        <f t="shared" si="12"/>
        <v>0</v>
      </c>
      <c r="B74" s="9">
        <f t="shared" si="14"/>
        <v>0</v>
      </c>
      <c r="C74" s="9">
        <f t="shared" ref="C74:H74" si="20">(B74/B$65)*C$65</f>
        <v>0</v>
      </c>
      <c r="D74" s="9">
        <f t="shared" si="20"/>
        <v>0</v>
      </c>
      <c r="E74" s="9">
        <f t="shared" si="20"/>
        <v>0</v>
      </c>
      <c r="F74" s="9">
        <f t="shared" si="20"/>
        <v>0</v>
      </c>
      <c r="G74" s="9">
        <f t="shared" si="20"/>
        <v>0</v>
      </c>
      <c r="H74" s="9">
        <f t="shared" si="20"/>
        <v>0</v>
      </c>
    </row>
    <row r="75" spans="1:8">
      <c r="A75" s="9">
        <f t="shared" si="12"/>
        <v>0</v>
      </c>
      <c r="B75" s="9">
        <f t="shared" si="14"/>
        <v>0</v>
      </c>
      <c r="C75" s="9">
        <f t="shared" ref="C75:H75" si="21">(B75/B$65)*C$65</f>
        <v>0</v>
      </c>
      <c r="D75" s="9">
        <f t="shared" si="21"/>
        <v>0</v>
      </c>
      <c r="E75" s="9">
        <f t="shared" si="21"/>
        <v>0</v>
      </c>
      <c r="F75" s="9">
        <f t="shared" si="21"/>
        <v>0</v>
      </c>
      <c r="G75" s="9">
        <f t="shared" si="21"/>
        <v>0</v>
      </c>
      <c r="H75" s="9">
        <f t="shared" si="21"/>
        <v>0</v>
      </c>
    </row>
    <row r="76" spans="1:8">
      <c r="A76" s="9">
        <f t="shared" si="12"/>
        <v>0</v>
      </c>
      <c r="B76" s="9">
        <f t="shared" ref="B76:B83" si="22">H24*$B$65</f>
        <v>0</v>
      </c>
      <c r="C76" s="9">
        <f t="shared" ref="C76:H76" si="23">(B76/B$65)*C$65</f>
        <v>0</v>
      </c>
      <c r="D76" s="9">
        <f t="shared" si="23"/>
        <v>0</v>
      </c>
      <c r="E76" s="9">
        <f t="shared" si="23"/>
        <v>0</v>
      </c>
      <c r="F76" s="9">
        <f t="shared" si="23"/>
        <v>0</v>
      </c>
      <c r="G76" s="9">
        <f t="shared" si="23"/>
        <v>0</v>
      </c>
      <c r="H76" s="9">
        <f t="shared" si="23"/>
        <v>0</v>
      </c>
    </row>
    <row r="77" spans="1:8">
      <c r="A77" s="9">
        <f t="shared" si="12"/>
        <v>0</v>
      </c>
      <c r="B77" s="9">
        <f t="shared" si="22"/>
        <v>0</v>
      </c>
      <c r="C77" s="9">
        <f t="shared" ref="C77:H77" si="24">(B77/B$65)*C$65</f>
        <v>0</v>
      </c>
      <c r="D77" s="9">
        <f t="shared" si="24"/>
        <v>0</v>
      </c>
      <c r="E77" s="9">
        <f t="shared" si="24"/>
        <v>0</v>
      </c>
      <c r="F77" s="9">
        <f t="shared" si="24"/>
        <v>0</v>
      </c>
      <c r="G77" s="9">
        <f t="shared" si="24"/>
        <v>0</v>
      </c>
      <c r="H77" s="9">
        <f t="shared" si="24"/>
        <v>0</v>
      </c>
    </row>
    <row r="78" spans="1:8">
      <c r="A78" s="9">
        <f t="shared" si="12"/>
        <v>0</v>
      </c>
      <c r="B78" s="9">
        <f t="shared" si="22"/>
        <v>0</v>
      </c>
      <c r="C78" s="9">
        <f t="shared" ref="C78:H78" si="25">(B78/B$65)*C$65</f>
        <v>0</v>
      </c>
      <c r="D78" s="9">
        <f t="shared" si="25"/>
        <v>0</v>
      </c>
      <c r="E78" s="9">
        <f t="shared" si="25"/>
        <v>0</v>
      </c>
      <c r="F78" s="9">
        <f t="shared" si="25"/>
        <v>0</v>
      </c>
      <c r="G78" s="9">
        <f t="shared" si="25"/>
        <v>0</v>
      </c>
      <c r="H78" s="9">
        <f t="shared" si="25"/>
        <v>0</v>
      </c>
    </row>
    <row r="79" spans="1:8">
      <c r="A79" s="9">
        <f t="shared" si="12"/>
        <v>0</v>
      </c>
      <c r="B79" s="9">
        <f t="shared" si="22"/>
        <v>0</v>
      </c>
      <c r="C79" s="9">
        <f t="shared" ref="C79:H79" si="26">(B79/B$65)*C$65</f>
        <v>0</v>
      </c>
      <c r="D79" s="9">
        <f t="shared" si="26"/>
        <v>0</v>
      </c>
      <c r="E79" s="9">
        <f t="shared" si="26"/>
        <v>0</v>
      </c>
      <c r="F79" s="9">
        <f t="shared" si="26"/>
        <v>0</v>
      </c>
      <c r="G79" s="9">
        <f t="shared" si="26"/>
        <v>0</v>
      </c>
      <c r="H79" s="9">
        <f t="shared" si="26"/>
        <v>0</v>
      </c>
    </row>
    <row r="80" spans="1:8">
      <c r="A80" s="9">
        <f t="shared" si="12"/>
        <v>0</v>
      </c>
      <c r="B80" s="9">
        <f t="shared" si="22"/>
        <v>0</v>
      </c>
      <c r="C80" s="9">
        <f t="shared" ref="C80:H80" si="27">(B80/B$65)*C$65</f>
        <v>0</v>
      </c>
      <c r="D80" s="9">
        <f t="shared" si="27"/>
        <v>0</v>
      </c>
      <c r="E80" s="9">
        <f t="shared" si="27"/>
        <v>0</v>
      </c>
      <c r="F80" s="9">
        <f t="shared" si="27"/>
        <v>0</v>
      </c>
      <c r="G80" s="9">
        <f t="shared" si="27"/>
        <v>0</v>
      </c>
      <c r="H80" s="9">
        <f t="shared" si="27"/>
        <v>0</v>
      </c>
    </row>
    <row r="81" spans="1:8">
      <c r="A81" s="9">
        <f t="shared" si="12"/>
        <v>0</v>
      </c>
      <c r="B81" s="9">
        <f t="shared" si="22"/>
        <v>0</v>
      </c>
      <c r="C81" s="9">
        <f t="shared" ref="C81:H81" si="28">(B81/B$65)*C$65</f>
        <v>0</v>
      </c>
      <c r="D81" s="9">
        <f t="shared" si="28"/>
        <v>0</v>
      </c>
      <c r="E81" s="9">
        <f t="shared" si="28"/>
        <v>0</v>
      </c>
      <c r="F81" s="9">
        <f t="shared" si="28"/>
        <v>0</v>
      </c>
      <c r="G81" s="9">
        <f t="shared" si="28"/>
        <v>0</v>
      </c>
      <c r="H81" s="9">
        <f t="shared" si="28"/>
        <v>0</v>
      </c>
    </row>
    <row r="82" spans="1:8">
      <c r="A82" s="9">
        <f t="shared" si="12"/>
        <v>0</v>
      </c>
      <c r="B82" s="9">
        <f t="shared" si="22"/>
        <v>0</v>
      </c>
      <c r="C82" s="9">
        <f t="shared" ref="C82:H82" si="29">(B82/B$65)*C$65</f>
        <v>0</v>
      </c>
      <c r="D82" s="9">
        <f t="shared" si="29"/>
        <v>0</v>
      </c>
      <c r="E82" s="9">
        <f t="shared" si="29"/>
        <v>0</v>
      </c>
      <c r="F82" s="9">
        <f t="shared" si="29"/>
        <v>0</v>
      </c>
      <c r="G82" s="9">
        <f t="shared" si="29"/>
        <v>0</v>
      </c>
      <c r="H82" s="9">
        <f t="shared" si="29"/>
        <v>0</v>
      </c>
    </row>
    <row r="83" spans="1:8">
      <c r="A83" s="9">
        <f t="shared" si="12"/>
        <v>0</v>
      </c>
      <c r="B83" s="9">
        <f t="shared" si="22"/>
        <v>0</v>
      </c>
      <c r="C83" s="9">
        <f t="shared" ref="C83:H83" si="30">(B83/B$65)*C$65</f>
        <v>0</v>
      </c>
      <c r="D83" s="9">
        <f t="shared" si="30"/>
        <v>0</v>
      </c>
      <c r="E83" s="9">
        <f t="shared" si="30"/>
        <v>0</v>
      </c>
      <c r="F83" s="9">
        <f t="shared" si="30"/>
        <v>0</v>
      </c>
      <c r="G83" s="9">
        <f t="shared" si="30"/>
        <v>0</v>
      </c>
      <c r="H83" s="9">
        <f t="shared" si="30"/>
        <v>0</v>
      </c>
    </row>
    <row r="84" spans="1:8">
      <c r="A84" s="9">
        <f t="shared" si="12"/>
        <v>0</v>
      </c>
      <c r="B84" s="9">
        <f>H33*$B$65</f>
        <v>0</v>
      </c>
      <c r="C84" s="9">
        <f t="shared" ref="C84:H84" si="31">(B84/B$65)*C$65</f>
        <v>0</v>
      </c>
      <c r="D84" s="9">
        <f t="shared" si="31"/>
        <v>0</v>
      </c>
      <c r="E84" s="9">
        <f t="shared" si="31"/>
        <v>0</v>
      </c>
      <c r="F84" s="9">
        <f t="shared" si="31"/>
        <v>0</v>
      </c>
      <c r="G84" s="9">
        <f t="shared" si="31"/>
        <v>0</v>
      </c>
      <c r="H84" s="9">
        <f t="shared" si="31"/>
        <v>0</v>
      </c>
    </row>
    <row r="85" spans="1:8">
      <c r="A85" s="9">
        <f t="shared" si="12"/>
        <v>0</v>
      </c>
      <c r="B85" s="9">
        <f>H34*$B$65</f>
        <v>0</v>
      </c>
      <c r="C85" s="9">
        <f t="shared" ref="C85:H85" si="32">(B85/B$65)*C$65</f>
        <v>0</v>
      </c>
      <c r="D85" s="9">
        <f t="shared" si="32"/>
        <v>0</v>
      </c>
      <c r="E85" s="9">
        <f t="shared" si="32"/>
        <v>0</v>
      </c>
      <c r="F85" s="9">
        <f t="shared" si="32"/>
        <v>0</v>
      </c>
      <c r="G85" s="9">
        <f t="shared" si="32"/>
        <v>0</v>
      </c>
      <c r="H85" s="9">
        <f t="shared" si="32"/>
        <v>0</v>
      </c>
    </row>
    <row r="86" spans="1:8">
      <c r="A86" s="9">
        <f t="shared" si="12"/>
        <v>0</v>
      </c>
      <c r="B86" s="9">
        <f>H35*$B$65</f>
        <v>0</v>
      </c>
      <c r="C86" s="9">
        <f t="shared" ref="C86:H86" si="33">(B86/B$65)*C$65</f>
        <v>0</v>
      </c>
      <c r="D86" s="9">
        <f t="shared" si="33"/>
        <v>0</v>
      </c>
      <c r="E86" s="9">
        <f t="shared" si="33"/>
        <v>0</v>
      </c>
      <c r="F86" s="9">
        <f t="shared" si="33"/>
        <v>0</v>
      </c>
      <c r="G86" s="9">
        <f t="shared" si="33"/>
        <v>0</v>
      </c>
      <c r="H86" s="9">
        <f t="shared" si="33"/>
        <v>0</v>
      </c>
    </row>
    <row r="87" spans="1:8">
      <c r="A87" s="9">
        <f t="shared" si="12"/>
        <v>0</v>
      </c>
      <c r="B87" s="9">
        <f>H36*$B$65</f>
        <v>0</v>
      </c>
      <c r="C87" s="9">
        <f t="shared" ref="C87:H87" si="34">(B87/B$65)*C$65</f>
        <v>0</v>
      </c>
      <c r="D87" s="9">
        <f t="shared" si="34"/>
        <v>0</v>
      </c>
      <c r="E87" s="9">
        <f t="shared" si="34"/>
        <v>0</v>
      </c>
      <c r="F87" s="9">
        <f t="shared" si="34"/>
        <v>0</v>
      </c>
      <c r="G87" s="9">
        <f t="shared" si="34"/>
        <v>0</v>
      </c>
      <c r="H87" s="9">
        <f t="shared" si="34"/>
        <v>0</v>
      </c>
    </row>
    <row r="89" spans="1:8">
      <c r="A89" s="444" t="s">
        <v>548</v>
      </c>
      <c r="B89" s="445"/>
      <c r="C89" s="445"/>
      <c r="D89" s="445"/>
      <c r="E89" s="445"/>
      <c r="F89" s="445"/>
      <c r="G89" s="445"/>
      <c r="H89" s="446"/>
    </row>
    <row r="90" spans="1:8">
      <c r="A90" s="428" t="s">
        <v>0</v>
      </c>
      <c r="B90" s="238">
        <v>0.65</v>
      </c>
      <c r="C90" s="239">
        <f>B90+0.05</f>
        <v>0.70000000000000007</v>
      </c>
      <c r="D90" s="239">
        <f t="shared" ref="D90:G90" si="35">C90+0.05</f>
        <v>0.75000000000000011</v>
      </c>
      <c r="E90" s="239">
        <f t="shared" si="35"/>
        <v>0.80000000000000016</v>
      </c>
      <c r="F90" s="239">
        <f t="shared" si="35"/>
        <v>0.8500000000000002</v>
      </c>
      <c r="G90" s="239">
        <f t="shared" si="35"/>
        <v>0.90000000000000024</v>
      </c>
      <c r="H90" s="239">
        <f>G90+0.05</f>
        <v>0.95000000000000029</v>
      </c>
    </row>
    <row r="91" spans="1:8">
      <c r="A91" s="429"/>
      <c r="B91" s="215" t="s">
        <v>2</v>
      </c>
      <c r="C91" s="215" t="s">
        <v>3</v>
      </c>
      <c r="D91" s="215" t="s">
        <v>4</v>
      </c>
      <c r="E91" s="215" t="s">
        <v>5</v>
      </c>
      <c r="F91" s="215" t="s">
        <v>6</v>
      </c>
      <c r="G91" s="215" t="s">
        <v>169</v>
      </c>
      <c r="H91" s="215" t="s">
        <v>168</v>
      </c>
    </row>
    <row r="92" spans="1:8">
      <c r="A92" s="9">
        <f t="shared" ref="A92:A112" si="36">A67</f>
        <v>0</v>
      </c>
      <c r="B92" s="9">
        <f t="shared" ref="B92:B100" si="37">D14*$B$90</f>
        <v>0</v>
      </c>
      <c r="C92" s="9">
        <f t="shared" ref="C92:H92" si="38">(B92/B$90)*C$90</f>
        <v>0</v>
      </c>
      <c r="D92" s="9">
        <f t="shared" si="38"/>
        <v>0</v>
      </c>
      <c r="E92" s="9">
        <f t="shared" si="38"/>
        <v>0</v>
      </c>
      <c r="F92" s="9">
        <f t="shared" si="38"/>
        <v>0</v>
      </c>
      <c r="G92" s="9">
        <f t="shared" si="38"/>
        <v>0</v>
      </c>
      <c r="H92" s="9">
        <f t="shared" si="38"/>
        <v>0</v>
      </c>
    </row>
    <row r="93" spans="1:8">
      <c r="A93" s="9">
        <f t="shared" si="36"/>
        <v>0</v>
      </c>
      <c r="B93" s="9">
        <f t="shared" si="37"/>
        <v>0</v>
      </c>
      <c r="C93" s="9">
        <f t="shared" ref="C93:C113" si="39">(B93/B$90)*C$90</f>
        <v>0</v>
      </c>
      <c r="D93" s="9">
        <f>(C93/C90)*D90</f>
        <v>0</v>
      </c>
      <c r="E93" s="9">
        <f t="shared" ref="E93:G93" si="40">(D93/D90)*E90</f>
        <v>0</v>
      </c>
      <c r="F93" s="9">
        <f t="shared" si="40"/>
        <v>0</v>
      </c>
      <c r="G93" s="9">
        <f t="shared" si="40"/>
        <v>0</v>
      </c>
      <c r="H93" s="9">
        <f>(G93/G90)*H90</f>
        <v>0</v>
      </c>
    </row>
    <row r="94" spans="1:8">
      <c r="A94" s="9">
        <f t="shared" si="36"/>
        <v>0</v>
      </c>
      <c r="B94" s="9">
        <f t="shared" si="37"/>
        <v>0</v>
      </c>
      <c r="C94" s="9">
        <f t="shared" si="39"/>
        <v>0</v>
      </c>
      <c r="D94" s="9">
        <f t="shared" ref="D94:H103" si="41">(C94/C$90)*D$90</f>
        <v>0</v>
      </c>
      <c r="E94" s="9">
        <f t="shared" si="41"/>
        <v>0</v>
      </c>
      <c r="F94" s="9">
        <f t="shared" si="41"/>
        <v>0</v>
      </c>
      <c r="G94" s="9">
        <f t="shared" si="41"/>
        <v>0</v>
      </c>
      <c r="H94" s="9">
        <f t="shared" si="41"/>
        <v>0</v>
      </c>
    </row>
    <row r="95" spans="1:8">
      <c r="A95" s="9">
        <f t="shared" si="36"/>
        <v>0</v>
      </c>
      <c r="B95" s="9">
        <f t="shared" si="37"/>
        <v>0</v>
      </c>
      <c r="C95" s="9">
        <f t="shared" si="39"/>
        <v>0</v>
      </c>
      <c r="D95" s="9">
        <f t="shared" si="41"/>
        <v>0</v>
      </c>
      <c r="E95" s="9">
        <f t="shared" si="41"/>
        <v>0</v>
      </c>
      <c r="F95" s="9">
        <f t="shared" si="41"/>
        <v>0</v>
      </c>
      <c r="G95" s="9">
        <f t="shared" si="41"/>
        <v>0</v>
      </c>
      <c r="H95" s="9">
        <f t="shared" si="41"/>
        <v>0</v>
      </c>
    </row>
    <row r="96" spans="1:8">
      <c r="A96" s="9">
        <f t="shared" si="36"/>
        <v>0</v>
      </c>
      <c r="B96" s="9">
        <f t="shared" si="37"/>
        <v>0</v>
      </c>
      <c r="C96" s="9">
        <f t="shared" si="39"/>
        <v>0</v>
      </c>
      <c r="D96" s="9">
        <f t="shared" si="41"/>
        <v>0</v>
      </c>
      <c r="E96" s="9">
        <f t="shared" si="41"/>
        <v>0</v>
      </c>
      <c r="F96" s="9">
        <f t="shared" si="41"/>
        <v>0</v>
      </c>
      <c r="G96" s="9">
        <f t="shared" si="41"/>
        <v>0</v>
      </c>
      <c r="H96" s="9">
        <f t="shared" si="41"/>
        <v>0</v>
      </c>
    </row>
    <row r="97" spans="1:8">
      <c r="A97" s="9">
        <f t="shared" si="36"/>
        <v>0</v>
      </c>
      <c r="B97" s="9">
        <f t="shared" si="37"/>
        <v>0</v>
      </c>
      <c r="C97" s="9">
        <f t="shared" si="39"/>
        <v>0</v>
      </c>
      <c r="D97" s="9">
        <f t="shared" si="41"/>
        <v>0</v>
      </c>
      <c r="E97" s="9">
        <f t="shared" si="41"/>
        <v>0</v>
      </c>
      <c r="F97" s="9">
        <f t="shared" si="41"/>
        <v>0</v>
      </c>
      <c r="G97" s="9">
        <f t="shared" si="41"/>
        <v>0</v>
      </c>
      <c r="H97" s="9">
        <f t="shared" si="41"/>
        <v>0</v>
      </c>
    </row>
    <row r="98" spans="1:8">
      <c r="A98" s="9">
        <f t="shared" si="36"/>
        <v>0</v>
      </c>
      <c r="B98" s="9">
        <f t="shared" si="37"/>
        <v>0</v>
      </c>
      <c r="C98" s="9">
        <f t="shared" si="39"/>
        <v>0</v>
      </c>
      <c r="D98" s="9">
        <f t="shared" si="41"/>
        <v>0</v>
      </c>
      <c r="E98" s="9">
        <f t="shared" si="41"/>
        <v>0</v>
      </c>
      <c r="F98" s="9">
        <f t="shared" si="41"/>
        <v>0</v>
      </c>
      <c r="G98" s="9">
        <f t="shared" si="41"/>
        <v>0</v>
      </c>
      <c r="H98" s="9">
        <f t="shared" si="41"/>
        <v>0</v>
      </c>
    </row>
    <row r="99" spans="1:8">
      <c r="A99" s="9">
        <f t="shared" si="36"/>
        <v>0</v>
      </c>
      <c r="B99" s="9">
        <f t="shared" si="37"/>
        <v>0</v>
      </c>
      <c r="C99" s="9">
        <f t="shared" si="39"/>
        <v>0</v>
      </c>
      <c r="D99" s="9">
        <f t="shared" si="41"/>
        <v>0</v>
      </c>
      <c r="E99" s="9">
        <f t="shared" si="41"/>
        <v>0</v>
      </c>
      <c r="F99" s="9">
        <f t="shared" si="41"/>
        <v>0</v>
      </c>
      <c r="G99" s="9">
        <f t="shared" si="41"/>
        <v>0</v>
      </c>
      <c r="H99" s="9">
        <f t="shared" si="41"/>
        <v>0</v>
      </c>
    </row>
    <row r="100" spans="1:8">
      <c r="A100" s="9">
        <f t="shared" si="36"/>
        <v>0</v>
      </c>
      <c r="B100" s="9">
        <f t="shared" si="37"/>
        <v>0</v>
      </c>
      <c r="C100" s="9">
        <f t="shared" si="39"/>
        <v>0</v>
      </c>
      <c r="D100" s="9">
        <f t="shared" si="41"/>
        <v>0</v>
      </c>
      <c r="E100" s="9">
        <f t="shared" si="41"/>
        <v>0</v>
      </c>
      <c r="F100" s="9">
        <f t="shared" si="41"/>
        <v>0</v>
      </c>
      <c r="G100" s="9">
        <f t="shared" si="41"/>
        <v>0</v>
      </c>
      <c r="H100" s="9">
        <f t="shared" si="41"/>
        <v>0</v>
      </c>
    </row>
    <row r="101" spans="1:8">
      <c r="A101" s="9">
        <f t="shared" si="36"/>
        <v>0</v>
      </c>
      <c r="B101" s="9">
        <f t="shared" ref="B101:B108" si="42">D24*$B$90</f>
        <v>0</v>
      </c>
      <c r="C101" s="9">
        <f t="shared" si="39"/>
        <v>0</v>
      </c>
      <c r="D101" s="9">
        <f t="shared" si="41"/>
        <v>0</v>
      </c>
      <c r="E101" s="9">
        <f t="shared" si="41"/>
        <v>0</v>
      </c>
      <c r="F101" s="9">
        <f t="shared" si="41"/>
        <v>0</v>
      </c>
      <c r="G101" s="9">
        <f t="shared" si="41"/>
        <v>0</v>
      </c>
      <c r="H101" s="9">
        <f t="shared" si="41"/>
        <v>0</v>
      </c>
    </row>
    <row r="102" spans="1:8">
      <c r="A102" s="9">
        <f t="shared" si="36"/>
        <v>0</v>
      </c>
      <c r="B102" s="9">
        <f t="shared" si="42"/>
        <v>0</v>
      </c>
      <c r="C102" s="9">
        <f t="shared" si="39"/>
        <v>0</v>
      </c>
      <c r="D102" s="9">
        <f t="shared" si="41"/>
        <v>0</v>
      </c>
      <c r="E102" s="9">
        <f t="shared" si="41"/>
        <v>0</v>
      </c>
      <c r="F102" s="9">
        <f t="shared" si="41"/>
        <v>0</v>
      </c>
      <c r="G102" s="9">
        <f t="shared" si="41"/>
        <v>0</v>
      </c>
      <c r="H102" s="9">
        <f t="shared" si="41"/>
        <v>0</v>
      </c>
    </row>
    <row r="103" spans="1:8">
      <c r="A103" s="9">
        <f t="shared" si="36"/>
        <v>0</v>
      </c>
      <c r="B103" s="9">
        <f t="shared" si="42"/>
        <v>0</v>
      </c>
      <c r="C103" s="9">
        <f t="shared" si="39"/>
        <v>0</v>
      </c>
      <c r="D103" s="9">
        <f t="shared" si="41"/>
        <v>0</v>
      </c>
      <c r="E103" s="9">
        <f t="shared" si="41"/>
        <v>0</v>
      </c>
      <c r="F103" s="9">
        <f t="shared" si="41"/>
        <v>0</v>
      </c>
      <c r="G103" s="9">
        <f t="shared" si="41"/>
        <v>0</v>
      </c>
      <c r="H103" s="9">
        <f t="shared" si="41"/>
        <v>0</v>
      </c>
    </row>
    <row r="104" spans="1:8">
      <c r="A104" s="9">
        <f t="shared" si="36"/>
        <v>0</v>
      </c>
      <c r="B104" s="9">
        <f t="shared" si="42"/>
        <v>0</v>
      </c>
      <c r="C104" s="9">
        <f t="shared" si="39"/>
        <v>0</v>
      </c>
      <c r="D104" s="9">
        <f t="shared" ref="D104:H113" si="43">(C104/C$90)*D$90</f>
        <v>0</v>
      </c>
      <c r="E104" s="9">
        <f t="shared" si="43"/>
        <v>0</v>
      </c>
      <c r="F104" s="9">
        <f t="shared" si="43"/>
        <v>0</v>
      </c>
      <c r="G104" s="9">
        <f t="shared" si="43"/>
        <v>0</v>
      </c>
      <c r="H104" s="9">
        <f t="shared" si="43"/>
        <v>0</v>
      </c>
    </row>
    <row r="105" spans="1:8">
      <c r="A105" s="9">
        <f t="shared" si="36"/>
        <v>0</v>
      </c>
      <c r="B105" s="9">
        <f t="shared" si="42"/>
        <v>0</v>
      </c>
      <c r="C105" s="9">
        <f t="shared" si="39"/>
        <v>0</v>
      </c>
      <c r="D105" s="9">
        <f t="shared" si="43"/>
        <v>0</v>
      </c>
      <c r="E105" s="9">
        <f t="shared" si="43"/>
        <v>0</v>
      </c>
      <c r="F105" s="9">
        <f t="shared" si="43"/>
        <v>0</v>
      </c>
      <c r="G105" s="9">
        <f t="shared" si="43"/>
        <v>0</v>
      </c>
      <c r="H105" s="9">
        <f t="shared" si="43"/>
        <v>0</v>
      </c>
    </row>
    <row r="106" spans="1:8">
      <c r="A106" s="9">
        <f t="shared" si="36"/>
        <v>0</v>
      </c>
      <c r="B106" s="9">
        <f t="shared" si="42"/>
        <v>0</v>
      </c>
      <c r="C106" s="9">
        <f t="shared" si="39"/>
        <v>0</v>
      </c>
      <c r="D106" s="9">
        <f t="shared" si="43"/>
        <v>0</v>
      </c>
      <c r="E106" s="9">
        <f t="shared" si="43"/>
        <v>0</v>
      </c>
      <c r="F106" s="9">
        <f t="shared" si="43"/>
        <v>0</v>
      </c>
      <c r="G106" s="9">
        <f t="shared" si="43"/>
        <v>0</v>
      </c>
      <c r="H106" s="9">
        <f t="shared" si="43"/>
        <v>0</v>
      </c>
    </row>
    <row r="107" spans="1:8">
      <c r="A107" s="9">
        <f t="shared" si="36"/>
        <v>0</v>
      </c>
      <c r="B107" s="9">
        <f t="shared" si="42"/>
        <v>0</v>
      </c>
      <c r="C107" s="9">
        <f t="shared" si="39"/>
        <v>0</v>
      </c>
      <c r="D107" s="9">
        <f t="shared" si="43"/>
        <v>0</v>
      </c>
      <c r="E107" s="9">
        <f t="shared" si="43"/>
        <v>0</v>
      </c>
      <c r="F107" s="9">
        <f t="shared" si="43"/>
        <v>0</v>
      </c>
      <c r="G107" s="9">
        <f t="shared" si="43"/>
        <v>0</v>
      </c>
      <c r="H107" s="9">
        <f t="shared" si="43"/>
        <v>0</v>
      </c>
    </row>
    <row r="108" spans="1:8">
      <c r="A108" s="9">
        <f t="shared" si="36"/>
        <v>0</v>
      </c>
      <c r="B108" s="9">
        <f t="shared" si="42"/>
        <v>0</v>
      </c>
      <c r="C108" s="9">
        <f t="shared" si="39"/>
        <v>0</v>
      </c>
      <c r="D108" s="9">
        <f t="shared" si="43"/>
        <v>0</v>
      </c>
      <c r="E108" s="9">
        <f t="shared" si="43"/>
        <v>0</v>
      </c>
      <c r="F108" s="9">
        <f t="shared" si="43"/>
        <v>0</v>
      </c>
      <c r="G108" s="9">
        <f t="shared" si="43"/>
        <v>0</v>
      </c>
      <c r="H108" s="9">
        <f t="shared" si="43"/>
        <v>0</v>
      </c>
    </row>
    <row r="109" spans="1:8">
      <c r="A109" s="9">
        <f t="shared" si="36"/>
        <v>0</v>
      </c>
      <c r="B109" s="9">
        <f>D33*$B$90</f>
        <v>0</v>
      </c>
      <c r="C109" s="9">
        <f t="shared" si="39"/>
        <v>0</v>
      </c>
      <c r="D109" s="9">
        <f t="shared" si="43"/>
        <v>0</v>
      </c>
      <c r="E109" s="9">
        <f t="shared" si="43"/>
        <v>0</v>
      </c>
      <c r="F109" s="9">
        <f t="shared" si="43"/>
        <v>0</v>
      </c>
      <c r="G109" s="9">
        <f t="shared" si="43"/>
        <v>0</v>
      </c>
      <c r="H109" s="9">
        <f t="shared" si="43"/>
        <v>0</v>
      </c>
    </row>
    <row r="110" spans="1:8">
      <c r="A110" s="9">
        <f t="shared" si="36"/>
        <v>0</v>
      </c>
      <c r="B110" s="9">
        <f>D34*$B$90</f>
        <v>0</v>
      </c>
      <c r="C110" s="9">
        <f t="shared" si="39"/>
        <v>0</v>
      </c>
      <c r="D110" s="9">
        <f t="shared" si="43"/>
        <v>0</v>
      </c>
      <c r="E110" s="9">
        <f t="shared" si="43"/>
        <v>0</v>
      </c>
      <c r="F110" s="9">
        <f t="shared" si="43"/>
        <v>0</v>
      </c>
      <c r="G110" s="9">
        <f t="shared" si="43"/>
        <v>0</v>
      </c>
      <c r="H110" s="9">
        <f t="shared" si="43"/>
        <v>0</v>
      </c>
    </row>
    <row r="111" spans="1:8">
      <c r="A111" s="9">
        <f t="shared" si="36"/>
        <v>0</v>
      </c>
      <c r="B111" s="9">
        <f>D34*$B$90</f>
        <v>0</v>
      </c>
      <c r="C111" s="9">
        <f t="shared" si="39"/>
        <v>0</v>
      </c>
      <c r="D111" s="9">
        <f t="shared" si="43"/>
        <v>0</v>
      </c>
      <c r="E111" s="9">
        <f t="shared" si="43"/>
        <v>0</v>
      </c>
      <c r="F111" s="9">
        <f t="shared" si="43"/>
        <v>0</v>
      </c>
      <c r="G111" s="9">
        <f t="shared" si="43"/>
        <v>0</v>
      </c>
      <c r="H111" s="9">
        <f t="shared" si="43"/>
        <v>0</v>
      </c>
    </row>
    <row r="112" spans="1:8">
      <c r="A112" s="9">
        <f t="shared" si="36"/>
        <v>0</v>
      </c>
      <c r="B112" s="9">
        <f>D36*$B$90</f>
        <v>0</v>
      </c>
      <c r="C112" s="9">
        <f t="shared" si="39"/>
        <v>0</v>
      </c>
      <c r="D112" s="9">
        <f t="shared" si="43"/>
        <v>0</v>
      </c>
      <c r="E112" s="9">
        <f t="shared" si="43"/>
        <v>0</v>
      </c>
      <c r="F112" s="9">
        <f t="shared" si="43"/>
        <v>0</v>
      </c>
      <c r="G112" s="9">
        <f t="shared" si="43"/>
        <v>0</v>
      </c>
      <c r="H112" s="9">
        <f t="shared" si="43"/>
        <v>0</v>
      </c>
    </row>
    <row r="113" spans="1:9">
      <c r="A113" s="9"/>
      <c r="B113" s="9">
        <f>D37*$B$90</f>
        <v>0</v>
      </c>
      <c r="C113" s="9">
        <f t="shared" si="39"/>
        <v>0</v>
      </c>
      <c r="D113" s="9">
        <f t="shared" si="43"/>
        <v>0</v>
      </c>
      <c r="E113" s="9">
        <f t="shared" si="43"/>
        <v>0</v>
      </c>
      <c r="F113" s="9">
        <f t="shared" si="43"/>
        <v>0</v>
      </c>
      <c r="G113" s="9">
        <f t="shared" si="43"/>
        <v>0</v>
      </c>
      <c r="H113" s="9">
        <f t="shared" si="43"/>
        <v>0</v>
      </c>
    </row>
    <row r="115" spans="1:9">
      <c r="C115" s="4"/>
      <c r="D115" s="6"/>
      <c r="E115" s="6"/>
      <c r="F115" s="6"/>
      <c r="G115" s="6"/>
      <c r="H115" s="6"/>
      <c r="I115" s="6"/>
    </row>
    <row r="116" spans="1:9">
      <c r="A116" t="s">
        <v>517</v>
      </c>
      <c r="C116" s="13"/>
      <c r="D116" s="13"/>
      <c r="E116" s="13"/>
      <c r="F116" s="13"/>
      <c r="G116" s="13"/>
      <c r="H116" s="13"/>
      <c r="I116" s="13"/>
    </row>
    <row r="117" spans="1:9">
      <c r="A117">
        <v>1</v>
      </c>
      <c r="B117" t="s">
        <v>567</v>
      </c>
    </row>
    <row r="118" spans="1:9">
      <c r="A118">
        <v>2</v>
      </c>
      <c r="B118" t="s">
        <v>568</v>
      </c>
    </row>
    <row r="119" spans="1:9">
      <c r="A119">
        <v>3</v>
      </c>
      <c r="B119" t="s">
        <v>520</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dimension ref="A1:Z139"/>
  <sheetViews>
    <sheetView view="pageBreakPreview" zoomScale="80" zoomScaleSheetLayoutView="80" workbookViewId="0">
      <selection activeCell="U22" sqref="U22"/>
    </sheetView>
  </sheetViews>
  <sheetFormatPr defaultRowHeight="15"/>
  <cols>
    <col min="1" max="1" width="44.28515625" bestFit="1" customWidth="1"/>
    <col min="2" max="2" width="16.7109375" customWidth="1"/>
    <col min="3" max="3" width="11.5703125" customWidth="1"/>
    <col min="4" max="4" width="14.28515625" customWidth="1"/>
    <col min="5" max="5" width="11.85546875" customWidth="1"/>
    <col min="6" max="6" width="10.85546875" customWidth="1"/>
    <col min="7" max="7" width="12.85546875" customWidth="1"/>
    <col min="8" max="8" width="13.85546875" customWidth="1"/>
    <col min="9" max="9" width="11.42578125" bestFit="1" customWidth="1"/>
    <col min="10" max="10" width="7.28515625" customWidth="1"/>
    <col min="11" max="11" width="6.28515625" customWidth="1"/>
    <col min="12" max="14" width="6" bestFit="1" customWidth="1"/>
    <col min="15" max="15" width="7.28515625" bestFit="1" customWidth="1"/>
    <col min="16" max="16" width="4.7109375" customWidth="1"/>
    <col min="17" max="17" width="6.140625" customWidth="1"/>
    <col min="18" max="18" width="5.42578125" customWidth="1"/>
    <col min="19" max="19" width="5.7109375" customWidth="1"/>
    <col min="20" max="20" width="5.42578125" customWidth="1"/>
    <col min="21" max="21" width="6.5703125" customWidth="1"/>
  </cols>
  <sheetData>
    <row r="1" spans="1:26" ht="18.75">
      <c r="A1" s="381" t="s">
        <v>483</v>
      </c>
      <c r="B1" s="381"/>
      <c r="C1" s="381"/>
      <c r="D1" s="381"/>
      <c r="E1" s="381"/>
      <c r="F1" s="381"/>
      <c r="G1" s="381"/>
      <c r="H1" s="381"/>
    </row>
    <row r="2" spans="1:26">
      <c r="B2" s="4"/>
    </row>
    <row r="3" spans="1:26" ht="18.75">
      <c r="A3" s="427" t="s">
        <v>549</v>
      </c>
      <c r="B3" s="427"/>
    </row>
    <row r="4" spans="1:26">
      <c r="A4" s="334" t="s">
        <v>0</v>
      </c>
      <c r="B4" s="335" t="s">
        <v>387</v>
      </c>
      <c r="C4" s="216"/>
      <c r="D4" s="216"/>
      <c r="E4" s="216"/>
      <c r="F4" s="216"/>
      <c r="G4" s="216"/>
      <c r="H4" s="216"/>
    </row>
    <row r="5" spans="1:26">
      <c r="A5" s="336" t="s">
        <v>476</v>
      </c>
      <c r="B5" s="336">
        <v>400</v>
      </c>
      <c r="D5" s="217"/>
      <c r="E5" s="217"/>
      <c r="F5" s="217"/>
      <c r="G5" s="217"/>
      <c r="H5" s="217"/>
    </row>
    <row r="6" spans="1:26">
      <c r="A6" s="336" t="s">
        <v>477</v>
      </c>
      <c r="B6" s="336">
        <v>1000</v>
      </c>
      <c r="D6" s="217"/>
      <c r="E6" s="217"/>
      <c r="F6" s="217"/>
      <c r="G6" s="217"/>
      <c r="H6" s="217"/>
    </row>
    <row r="7" spans="1:26">
      <c r="A7" s="337" t="s">
        <v>1</v>
      </c>
      <c r="B7" s="337">
        <f>B5+B6</f>
        <v>1400</v>
      </c>
      <c r="C7" s="5"/>
      <c r="D7" s="218"/>
      <c r="E7" s="218"/>
      <c r="F7" s="218"/>
      <c r="G7" s="218"/>
      <c r="H7" s="218"/>
    </row>
    <row r="8" spans="1:26">
      <c r="A8" s="337" t="s">
        <v>478</v>
      </c>
      <c r="B8" s="337">
        <v>2</v>
      </c>
      <c r="C8" s="5"/>
      <c r="D8" s="5"/>
      <c r="E8" s="5"/>
      <c r="F8" s="5"/>
      <c r="G8" s="5"/>
      <c r="H8" s="5"/>
    </row>
    <row r="9" spans="1:26">
      <c r="A9" s="337" t="s">
        <v>479</v>
      </c>
      <c r="B9" s="337">
        <f>B7*B8</f>
        <v>2800</v>
      </c>
      <c r="C9" s="218"/>
      <c r="D9" s="218"/>
      <c r="E9" s="218"/>
      <c r="F9" s="218"/>
      <c r="G9" s="218"/>
      <c r="H9" s="218"/>
    </row>
    <row r="10" spans="1:26">
      <c r="J10" t="s">
        <v>452</v>
      </c>
      <c r="O10" t="s">
        <v>448</v>
      </c>
      <c r="U10" t="s">
        <v>449</v>
      </c>
      <c r="Y10" t="s">
        <v>450</v>
      </c>
      <c r="Z10" t="s">
        <v>451</v>
      </c>
    </row>
    <row r="11" spans="1:26" ht="18.75">
      <c r="A11" s="381" t="s">
        <v>550</v>
      </c>
      <c r="B11" s="381"/>
      <c r="C11" s="381"/>
      <c r="D11" s="381"/>
      <c r="E11" s="381"/>
      <c r="F11" s="381"/>
      <c r="G11" s="381"/>
      <c r="H11" s="381"/>
      <c r="I11" s="5"/>
      <c r="J11" s="5"/>
      <c r="K11" s="5"/>
      <c r="L11" s="5"/>
      <c r="M11" s="5"/>
      <c r="N11" s="5"/>
      <c r="O11" s="5"/>
      <c r="P11" s="5"/>
    </row>
    <row r="12" spans="1:26">
      <c r="J12" s="3">
        <v>0.65</v>
      </c>
      <c r="K12" s="213">
        <f>J12+0.05</f>
        <v>0.70000000000000007</v>
      </c>
      <c r="L12" s="213">
        <f t="shared" ref="L12:N12" si="0">K12+0.05</f>
        <v>0.75000000000000011</v>
      </c>
      <c r="M12" s="213">
        <f t="shared" si="0"/>
        <v>0.80000000000000016</v>
      </c>
      <c r="N12" s="213">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60">
      <c r="A13" s="334" t="s">
        <v>391</v>
      </c>
      <c r="B13" s="334" t="s">
        <v>392</v>
      </c>
      <c r="C13" s="338" t="s">
        <v>445</v>
      </c>
      <c r="D13" s="338" t="s">
        <v>453</v>
      </c>
      <c r="E13" s="338" t="s">
        <v>454</v>
      </c>
      <c r="F13" s="338" t="s">
        <v>393</v>
      </c>
      <c r="G13" s="338" t="s">
        <v>612</v>
      </c>
      <c r="H13" s="338" t="s">
        <v>394</v>
      </c>
      <c r="O13" s="212" t="s">
        <v>2</v>
      </c>
      <c r="P13" s="212" t="s">
        <v>3</v>
      </c>
      <c r="Q13" s="212" t="s">
        <v>4</v>
      </c>
      <c r="R13" s="212" t="s">
        <v>5</v>
      </c>
      <c r="S13" s="212" t="s">
        <v>6</v>
      </c>
      <c r="T13" s="212" t="s">
        <v>2</v>
      </c>
      <c r="U13" s="212" t="s">
        <v>3</v>
      </c>
      <c r="V13" s="212" t="s">
        <v>4</v>
      </c>
      <c r="W13" s="212" t="s">
        <v>5</v>
      </c>
      <c r="X13" s="212" t="s">
        <v>6</v>
      </c>
    </row>
    <row r="14" spans="1:26">
      <c r="A14" s="431" t="s">
        <v>395</v>
      </c>
      <c r="B14" s="336" t="s">
        <v>708</v>
      </c>
      <c r="C14" s="339">
        <v>0.8</v>
      </c>
      <c r="D14" s="336">
        <f>$B$9*C14</f>
        <v>2240</v>
      </c>
      <c r="E14" s="336">
        <v>15</v>
      </c>
      <c r="F14" s="336">
        <f>D14*E14</f>
        <v>33600</v>
      </c>
      <c r="G14" s="340">
        <v>0</v>
      </c>
      <c r="H14" s="336">
        <f>F14-(F14*G14)</f>
        <v>33600</v>
      </c>
      <c r="J14">
        <f>$D$14*J12</f>
        <v>1456</v>
      </c>
      <c r="K14">
        <f>$D$14*K12</f>
        <v>1568.0000000000002</v>
      </c>
      <c r="L14">
        <f>$D$14*L12</f>
        <v>1680.0000000000002</v>
      </c>
      <c r="M14">
        <f>$D$14*M12</f>
        <v>1792.0000000000005</v>
      </c>
      <c r="N14">
        <f>$D$14*N12</f>
        <v>1904.0000000000005</v>
      </c>
    </row>
    <row r="15" spans="1:26">
      <c r="A15" s="432"/>
      <c r="B15" s="336" t="s">
        <v>710</v>
      </c>
      <c r="C15" s="339">
        <v>0.8</v>
      </c>
      <c r="D15" s="336">
        <f>$B$9*C15</f>
        <v>2240</v>
      </c>
      <c r="E15" s="336">
        <v>6</v>
      </c>
      <c r="F15" s="336">
        <f>D15*E15</f>
        <v>13440</v>
      </c>
      <c r="G15" s="340">
        <v>0.01</v>
      </c>
      <c r="H15" s="336">
        <f>F15-(F15*G15)</f>
        <v>13305.6</v>
      </c>
    </row>
    <row r="16" spans="1:26">
      <c r="A16" s="432"/>
      <c r="B16" s="336" t="s">
        <v>713</v>
      </c>
      <c r="C16" s="339">
        <v>0.2</v>
      </c>
      <c r="D16" s="336">
        <f>$B$9*C16</f>
        <v>560</v>
      </c>
      <c r="E16" s="336">
        <v>1</v>
      </c>
      <c r="F16" s="336">
        <f>D16*E16</f>
        <v>560</v>
      </c>
      <c r="G16" s="340">
        <v>0</v>
      </c>
      <c r="H16" s="336">
        <f>F16-(F16*G16)</f>
        <v>560</v>
      </c>
    </row>
    <row r="17" spans="1:8">
      <c r="A17" s="432"/>
      <c r="B17" s="336"/>
      <c r="C17" s="339"/>
      <c r="D17" s="336"/>
      <c r="E17" s="336"/>
      <c r="F17" s="336"/>
      <c r="G17" s="340"/>
      <c r="H17" s="336"/>
    </row>
    <row r="18" spans="1:8">
      <c r="A18" s="432"/>
      <c r="B18" s="336"/>
      <c r="C18" s="339"/>
      <c r="D18" s="336"/>
      <c r="E18" s="336"/>
      <c r="F18" s="336"/>
      <c r="G18" s="340"/>
      <c r="H18" s="336"/>
    </row>
    <row r="19" spans="1:8">
      <c r="A19" s="432"/>
      <c r="B19" s="336"/>
      <c r="C19" s="339"/>
      <c r="D19" s="336"/>
      <c r="E19" s="336"/>
      <c r="F19" s="336"/>
      <c r="G19" s="340"/>
      <c r="H19" s="336"/>
    </row>
    <row r="20" spans="1:8">
      <c r="A20" s="432"/>
      <c r="B20" s="336"/>
      <c r="C20" s="339"/>
      <c r="D20" s="336"/>
      <c r="E20" s="336"/>
      <c r="F20" s="336"/>
      <c r="G20" s="340"/>
      <c r="H20" s="336"/>
    </row>
    <row r="21" spans="1:8">
      <c r="A21" s="432"/>
      <c r="B21" s="336"/>
      <c r="C21" s="339"/>
      <c r="D21" s="336"/>
      <c r="E21" s="336"/>
      <c r="F21" s="336"/>
      <c r="G21" s="340"/>
      <c r="H21" s="336"/>
    </row>
    <row r="22" spans="1:8">
      <c r="A22" s="433"/>
      <c r="B22" s="336"/>
      <c r="C22" s="339"/>
      <c r="D22" s="336"/>
      <c r="E22" s="336"/>
      <c r="F22" s="336"/>
      <c r="G22" s="340"/>
      <c r="H22" s="336"/>
    </row>
    <row r="23" spans="1:8">
      <c r="A23" s="229" t="s">
        <v>484</v>
      </c>
      <c r="B23" s="340"/>
      <c r="C23" s="225"/>
      <c r="D23" s="336"/>
      <c r="E23" s="336"/>
      <c r="F23" s="336"/>
      <c r="G23" s="340"/>
      <c r="H23" s="336"/>
    </row>
    <row r="24" spans="1:8">
      <c r="A24" s="431" t="s">
        <v>396</v>
      </c>
      <c r="B24" s="336"/>
      <c r="C24" s="339"/>
      <c r="D24" s="336"/>
      <c r="E24" s="336"/>
      <c r="F24" s="336"/>
      <c r="G24" s="340"/>
      <c r="H24" s="336"/>
    </row>
    <row r="25" spans="1:8">
      <c r="A25" s="432"/>
      <c r="B25" s="336"/>
      <c r="C25" s="339"/>
      <c r="D25" s="336"/>
      <c r="E25" s="336"/>
      <c r="F25" s="336"/>
      <c r="G25" s="340"/>
      <c r="H25" s="336"/>
    </row>
    <row r="26" spans="1:8">
      <c r="A26" s="432"/>
      <c r="B26" s="336"/>
      <c r="C26" s="339"/>
      <c r="D26" s="336"/>
      <c r="E26" s="336"/>
      <c r="F26" s="336"/>
      <c r="G26" s="340"/>
      <c r="H26" s="336"/>
    </row>
    <row r="27" spans="1:8">
      <c r="A27" s="432"/>
      <c r="B27" s="336"/>
      <c r="C27" s="339"/>
      <c r="D27" s="336"/>
      <c r="E27" s="336"/>
      <c r="F27" s="336"/>
      <c r="G27" s="340"/>
      <c r="H27" s="336"/>
    </row>
    <row r="28" spans="1:8">
      <c r="A28" s="432"/>
      <c r="B28" s="336"/>
      <c r="C28" s="339"/>
      <c r="D28" s="336"/>
      <c r="E28" s="336"/>
      <c r="F28" s="336"/>
      <c r="G28" s="340"/>
      <c r="H28" s="336"/>
    </row>
    <row r="29" spans="1:8">
      <c r="A29" s="432"/>
      <c r="B29" s="336"/>
      <c r="C29" s="339"/>
      <c r="D29" s="336"/>
      <c r="E29" s="336"/>
      <c r="F29" s="336"/>
      <c r="G29" s="340"/>
      <c r="H29" s="336"/>
    </row>
    <row r="30" spans="1:8">
      <c r="A30" s="432"/>
      <c r="B30" s="336"/>
      <c r="C30" s="339"/>
      <c r="D30" s="336"/>
      <c r="E30" s="336"/>
      <c r="F30" s="336"/>
      <c r="G30" s="340"/>
      <c r="H30" s="336"/>
    </row>
    <row r="31" spans="1:8">
      <c r="A31" s="433"/>
      <c r="B31" s="336"/>
      <c r="C31" s="339"/>
      <c r="D31" s="336"/>
      <c r="E31" s="336"/>
      <c r="F31" s="336"/>
      <c r="G31" s="340"/>
      <c r="H31" s="336"/>
    </row>
    <row r="32" spans="1:8">
      <c r="A32" s="229" t="s">
        <v>485</v>
      </c>
      <c r="B32" s="340"/>
      <c r="C32" s="336"/>
      <c r="D32" s="336"/>
      <c r="E32" s="336"/>
      <c r="F32" s="336"/>
      <c r="G32" s="340"/>
      <c r="H32" s="336"/>
    </row>
    <row r="33" spans="1:8">
      <c r="A33" s="226" t="s">
        <v>459</v>
      </c>
      <c r="B33" s="336"/>
      <c r="C33" s="339"/>
      <c r="D33" s="336"/>
      <c r="E33" s="336"/>
      <c r="F33" s="336"/>
      <c r="G33" s="340"/>
      <c r="H33" s="336"/>
    </row>
    <row r="34" spans="1:8">
      <c r="A34" s="227"/>
      <c r="B34" s="336"/>
      <c r="C34" s="339"/>
      <c r="D34" s="336"/>
      <c r="E34" s="336"/>
      <c r="F34" s="336"/>
      <c r="G34" s="340"/>
      <c r="H34" s="336"/>
    </row>
    <row r="35" spans="1:8">
      <c r="A35" s="227"/>
      <c r="B35" s="336"/>
      <c r="C35" s="339"/>
      <c r="D35" s="336"/>
      <c r="E35" s="336"/>
      <c r="F35" s="336"/>
      <c r="G35" s="340"/>
      <c r="H35" s="336"/>
    </row>
    <row r="36" spans="1:8">
      <c r="A36" s="228"/>
      <c r="B36" s="336"/>
      <c r="C36" s="339"/>
      <c r="D36" s="336"/>
      <c r="E36" s="336"/>
      <c r="F36" s="336"/>
      <c r="G36" s="340"/>
      <c r="H36" s="336"/>
    </row>
    <row r="37" spans="1:8">
      <c r="A37" s="453" t="s">
        <v>486</v>
      </c>
      <c r="B37" s="336"/>
      <c r="C37" s="339"/>
      <c r="D37" s="336"/>
      <c r="E37" s="336"/>
      <c r="F37" s="336"/>
      <c r="G37" s="340"/>
      <c r="H37" s="336"/>
    </row>
    <row r="38" spans="1:8">
      <c r="A38" s="453"/>
      <c r="B38" s="336"/>
      <c r="C38" s="339"/>
      <c r="D38" s="336"/>
      <c r="E38" s="336"/>
      <c r="F38" s="336"/>
      <c r="G38" s="340"/>
      <c r="H38" s="336"/>
    </row>
    <row r="39" spans="1:8">
      <c r="A39" s="453"/>
      <c r="B39" s="336"/>
      <c r="C39" s="339"/>
      <c r="D39" s="336"/>
      <c r="E39" s="336"/>
      <c r="F39" s="336"/>
      <c r="G39" s="340"/>
      <c r="H39" s="336"/>
    </row>
    <row r="40" spans="1:8">
      <c r="A40" s="453"/>
      <c r="B40" s="336"/>
      <c r="C40" s="339"/>
      <c r="D40" s="336"/>
      <c r="E40" s="336"/>
      <c r="F40" s="336"/>
      <c r="G40" s="340"/>
      <c r="H40" s="336"/>
    </row>
    <row r="41" spans="1:8">
      <c r="A41" s="430" t="s">
        <v>397</v>
      </c>
      <c r="B41" s="430"/>
      <c r="C41" s="430"/>
      <c r="D41" s="430"/>
      <c r="E41" s="430"/>
      <c r="F41" s="430"/>
      <c r="G41" s="430"/>
      <c r="H41" s="430"/>
    </row>
    <row r="43" spans="1:8" ht="18.75">
      <c r="A43" s="434" t="s">
        <v>551</v>
      </c>
      <c r="B43" s="435"/>
      <c r="C43" s="435"/>
      <c r="D43" s="435"/>
      <c r="E43" s="435"/>
      <c r="F43" s="435"/>
      <c r="G43" s="435"/>
      <c r="H43" s="436"/>
    </row>
    <row r="44" spans="1:8">
      <c r="A44" s="447" t="s">
        <v>0</v>
      </c>
      <c r="B44" s="341">
        <v>0.5</v>
      </c>
      <c r="C44" s="341">
        <f>B44+0.05</f>
        <v>0.55000000000000004</v>
      </c>
      <c r="D44" s="341">
        <f t="shared" ref="D44:G44" si="3">C44+0.05</f>
        <v>0.60000000000000009</v>
      </c>
      <c r="E44" s="341">
        <f t="shared" si="3"/>
        <v>0.65000000000000013</v>
      </c>
      <c r="F44" s="341">
        <f t="shared" si="3"/>
        <v>0.70000000000000018</v>
      </c>
      <c r="G44" s="341">
        <f t="shared" si="3"/>
        <v>0.75000000000000022</v>
      </c>
      <c r="H44" s="341">
        <f>G44+0.05</f>
        <v>0.80000000000000027</v>
      </c>
    </row>
    <row r="45" spans="1:8">
      <c r="A45" s="448"/>
      <c r="B45" s="335" t="s">
        <v>2</v>
      </c>
      <c r="C45" s="335" t="s">
        <v>3</v>
      </c>
      <c r="D45" s="335" t="s">
        <v>4</v>
      </c>
      <c r="E45" s="335" t="s">
        <v>5</v>
      </c>
      <c r="F45" s="335" t="s">
        <v>6</v>
      </c>
      <c r="G45" s="335" t="s">
        <v>169</v>
      </c>
      <c r="H45" s="335" t="s">
        <v>168</v>
      </c>
    </row>
    <row r="46" spans="1:8">
      <c r="A46" s="9"/>
      <c r="B46" s="9"/>
      <c r="C46" s="9"/>
      <c r="D46" s="9"/>
      <c r="E46" s="9"/>
      <c r="F46" s="9"/>
      <c r="G46" s="9"/>
      <c r="H46" s="9"/>
    </row>
    <row r="47" spans="1:8">
      <c r="A47" s="9" t="str">
        <f t="shared" ref="A47" si="4">B15</f>
        <v>Cashew Nut</v>
      </c>
      <c r="B47" s="9">
        <f t="shared" ref="B47" si="5">H15*$B$44</f>
        <v>6652.8</v>
      </c>
      <c r="C47" s="9">
        <f t="shared" ref="C47:H60" si="6">(B47/B$44)*C$44</f>
        <v>7318.0800000000008</v>
      </c>
      <c r="D47" s="9">
        <f t="shared" si="6"/>
        <v>7983.3600000000015</v>
      </c>
      <c r="E47" s="9">
        <f t="shared" si="6"/>
        <v>8648.6400000000012</v>
      </c>
      <c r="F47" s="9">
        <f t="shared" si="6"/>
        <v>9313.9200000000019</v>
      </c>
      <c r="G47" s="9">
        <f t="shared" si="6"/>
        <v>9979.2000000000025</v>
      </c>
      <c r="H47" s="9">
        <f t="shared" si="6"/>
        <v>10644.480000000003</v>
      </c>
    </row>
    <row r="48" spans="1:8" hidden="1">
      <c r="A48" s="9">
        <f t="shared" ref="A48:A53" si="7">B17</f>
        <v>0</v>
      </c>
      <c r="B48" s="9">
        <f t="shared" ref="B48:B53" si="8">H17*$B$44</f>
        <v>0</v>
      </c>
      <c r="C48" s="9">
        <f t="shared" si="6"/>
        <v>0</v>
      </c>
      <c r="D48" s="9">
        <f t="shared" si="6"/>
        <v>0</v>
      </c>
      <c r="E48" s="9">
        <f t="shared" si="6"/>
        <v>0</v>
      </c>
      <c r="F48" s="9">
        <f t="shared" si="6"/>
        <v>0</v>
      </c>
      <c r="G48" s="9">
        <f t="shared" si="6"/>
        <v>0</v>
      </c>
      <c r="H48" s="9">
        <f t="shared" si="6"/>
        <v>0</v>
      </c>
    </row>
    <row r="49" spans="1:8" hidden="1">
      <c r="A49" s="9">
        <f t="shared" si="7"/>
        <v>0</v>
      </c>
      <c r="B49" s="9">
        <f t="shared" si="8"/>
        <v>0</v>
      </c>
      <c r="C49" s="9">
        <f t="shared" si="6"/>
        <v>0</v>
      </c>
      <c r="D49" s="9">
        <f t="shared" si="6"/>
        <v>0</v>
      </c>
      <c r="E49" s="9">
        <f t="shared" si="6"/>
        <v>0</v>
      </c>
      <c r="F49" s="9">
        <f t="shared" si="6"/>
        <v>0</v>
      </c>
      <c r="G49" s="9">
        <f t="shared" si="6"/>
        <v>0</v>
      </c>
      <c r="H49" s="9">
        <f t="shared" si="6"/>
        <v>0</v>
      </c>
    </row>
    <row r="50" spans="1:8" hidden="1">
      <c r="A50" s="9">
        <f t="shared" si="7"/>
        <v>0</v>
      </c>
      <c r="B50" s="9">
        <f t="shared" si="8"/>
        <v>0</v>
      </c>
      <c r="C50" s="9">
        <f t="shared" si="6"/>
        <v>0</v>
      </c>
      <c r="D50" s="9">
        <f t="shared" si="6"/>
        <v>0</v>
      </c>
      <c r="E50" s="9">
        <f t="shared" si="6"/>
        <v>0</v>
      </c>
      <c r="F50" s="9">
        <f t="shared" si="6"/>
        <v>0</v>
      </c>
      <c r="G50" s="9">
        <f t="shared" si="6"/>
        <v>0</v>
      </c>
      <c r="H50" s="9">
        <f t="shared" si="6"/>
        <v>0</v>
      </c>
    </row>
    <row r="51" spans="1:8" hidden="1">
      <c r="A51" s="9">
        <f t="shared" si="7"/>
        <v>0</v>
      </c>
      <c r="B51" s="9">
        <f t="shared" si="8"/>
        <v>0</v>
      </c>
      <c r="C51" s="9">
        <f t="shared" si="6"/>
        <v>0</v>
      </c>
      <c r="D51" s="9">
        <f t="shared" si="6"/>
        <v>0</v>
      </c>
      <c r="E51" s="9">
        <f t="shared" si="6"/>
        <v>0</v>
      </c>
      <c r="F51" s="9">
        <f t="shared" si="6"/>
        <v>0</v>
      </c>
      <c r="G51" s="9">
        <f t="shared" si="6"/>
        <v>0</v>
      </c>
      <c r="H51" s="9">
        <f t="shared" si="6"/>
        <v>0</v>
      </c>
    </row>
    <row r="52" spans="1:8" hidden="1">
      <c r="A52" s="9">
        <f t="shared" si="7"/>
        <v>0</v>
      </c>
      <c r="B52" s="9">
        <f t="shared" si="8"/>
        <v>0</v>
      </c>
      <c r="C52" s="9">
        <f t="shared" si="6"/>
        <v>0</v>
      </c>
      <c r="D52" s="9">
        <f t="shared" si="6"/>
        <v>0</v>
      </c>
      <c r="E52" s="9">
        <f t="shared" si="6"/>
        <v>0</v>
      </c>
      <c r="F52" s="9">
        <f t="shared" si="6"/>
        <v>0</v>
      </c>
      <c r="G52" s="9">
        <f t="shared" si="6"/>
        <v>0</v>
      </c>
      <c r="H52" s="9">
        <f t="shared" si="6"/>
        <v>0</v>
      </c>
    </row>
    <row r="53" spans="1:8" hidden="1">
      <c r="A53" s="9">
        <f t="shared" si="7"/>
        <v>0</v>
      </c>
      <c r="B53" s="9">
        <f t="shared" si="8"/>
        <v>0</v>
      </c>
      <c r="C53" s="9">
        <f t="shared" si="6"/>
        <v>0</v>
      </c>
      <c r="D53" s="9">
        <f t="shared" si="6"/>
        <v>0</v>
      </c>
      <c r="E53" s="9">
        <f t="shared" si="6"/>
        <v>0</v>
      </c>
      <c r="F53" s="9">
        <f t="shared" si="6"/>
        <v>0</v>
      </c>
      <c r="G53" s="9">
        <f t="shared" si="6"/>
        <v>0</v>
      </c>
      <c r="H53" s="9">
        <f t="shared" si="6"/>
        <v>0</v>
      </c>
    </row>
    <row r="54" spans="1:8" hidden="1">
      <c r="A54" s="9">
        <f t="shared" ref="A54:A61" si="9">B24</f>
        <v>0</v>
      </c>
      <c r="B54" s="9">
        <f t="shared" ref="B54:B61" si="10">H24*$B$44</f>
        <v>0</v>
      </c>
      <c r="C54" s="9">
        <f t="shared" si="6"/>
        <v>0</v>
      </c>
      <c r="D54" s="9">
        <f t="shared" si="6"/>
        <v>0</v>
      </c>
      <c r="E54" s="9">
        <f t="shared" si="6"/>
        <v>0</v>
      </c>
      <c r="F54" s="9">
        <f t="shared" si="6"/>
        <v>0</v>
      </c>
      <c r="G54" s="9">
        <f t="shared" si="6"/>
        <v>0</v>
      </c>
      <c r="H54" s="9">
        <f t="shared" si="6"/>
        <v>0</v>
      </c>
    </row>
    <row r="55" spans="1:8" hidden="1">
      <c r="A55" s="9">
        <f t="shared" si="9"/>
        <v>0</v>
      </c>
      <c r="B55" s="9">
        <f t="shared" si="10"/>
        <v>0</v>
      </c>
      <c r="C55" s="9">
        <f t="shared" si="6"/>
        <v>0</v>
      </c>
      <c r="D55" s="9">
        <f t="shared" si="6"/>
        <v>0</v>
      </c>
      <c r="E55" s="9">
        <f t="shared" si="6"/>
        <v>0</v>
      </c>
      <c r="F55" s="9">
        <f t="shared" si="6"/>
        <v>0</v>
      </c>
      <c r="G55" s="9">
        <f t="shared" si="6"/>
        <v>0</v>
      </c>
      <c r="H55" s="9">
        <f t="shared" si="6"/>
        <v>0</v>
      </c>
    </row>
    <row r="56" spans="1:8" hidden="1">
      <c r="A56" s="9">
        <f t="shared" si="9"/>
        <v>0</v>
      </c>
      <c r="B56" s="9">
        <f t="shared" si="10"/>
        <v>0</v>
      </c>
      <c r="C56" s="9">
        <f t="shared" si="6"/>
        <v>0</v>
      </c>
      <c r="D56" s="9">
        <f t="shared" si="6"/>
        <v>0</v>
      </c>
      <c r="E56" s="9">
        <f t="shared" si="6"/>
        <v>0</v>
      </c>
      <c r="F56" s="9">
        <f t="shared" si="6"/>
        <v>0</v>
      </c>
      <c r="G56" s="9">
        <f t="shared" si="6"/>
        <v>0</v>
      </c>
      <c r="H56" s="9">
        <f t="shared" si="6"/>
        <v>0</v>
      </c>
    </row>
    <row r="57" spans="1:8" hidden="1">
      <c r="A57" s="9">
        <f t="shared" si="9"/>
        <v>0</v>
      </c>
      <c r="B57" s="9">
        <f t="shared" si="10"/>
        <v>0</v>
      </c>
      <c r="C57" s="9">
        <f t="shared" si="6"/>
        <v>0</v>
      </c>
      <c r="D57" s="9">
        <f t="shared" si="6"/>
        <v>0</v>
      </c>
      <c r="E57" s="9">
        <f t="shared" si="6"/>
        <v>0</v>
      </c>
      <c r="F57" s="9">
        <f t="shared" si="6"/>
        <v>0</v>
      </c>
      <c r="G57" s="9">
        <f t="shared" si="6"/>
        <v>0</v>
      </c>
      <c r="H57" s="9">
        <f t="shared" si="6"/>
        <v>0</v>
      </c>
    </row>
    <row r="58" spans="1:8" hidden="1">
      <c r="A58" s="9">
        <f t="shared" si="9"/>
        <v>0</v>
      </c>
      <c r="B58" s="9">
        <f t="shared" si="10"/>
        <v>0</v>
      </c>
      <c r="C58" s="9">
        <f t="shared" si="6"/>
        <v>0</v>
      </c>
      <c r="D58" s="9">
        <f t="shared" si="6"/>
        <v>0</v>
      </c>
      <c r="E58" s="9">
        <f t="shared" si="6"/>
        <v>0</v>
      </c>
      <c r="F58" s="9">
        <f t="shared" si="6"/>
        <v>0</v>
      </c>
      <c r="G58" s="9">
        <f t="shared" si="6"/>
        <v>0</v>
      </c>
      <c r="H58" s="9">
        <f t="shared" si="6"/>
        <v>0</v>
      </c>
    </row>
    <row r="59" spans="1:8" hidden="1">
      <c r="A59" s="9">
        <f t="shared" si="9"/>
        <v>0</v>
      </c>
      <c r="B59" s="9">
        <f t="shared" si="10"/>
        <v>0</v>
      </c>
      <c r="C59" s="9">
        <f t="shared" si="6"/>
        <v>0</v>
      </c>
      <c r="D59" s="9">
        <f t="shared" si="6"/>
        <v>0</v>
      </c>
      <c r="E59" s="9">
        <f t="shared" si="6"/>
        <v>0</v>
      </c>
      <c r="F59" s="9">
        <f t="shared" si="6"/>
        <v>0</v>
      </c>
      <c r="G59" s="9">
        <f t="shared" si="6"/>
        <v>0</v>
      </c>
      <c r="H59" s="9">
        <f t="shared" si="6"/>
        <v>0</v>
      </c>
    </row>
    <row r="60" spans="1:8" hidden="1">
      <c r="A60" s="9">
        <f t="shared" si="9"/>
        <v>0</v>
      </c>
      <c r="B60" s="9">
        <f t="shared" si="10"/>
        <v>0</v>
      </c>
      <c r="C60" s="9">
        <f t="shared" si="6"/>
        <v>0</v>
      </c>
      <c r="D60" s="9">
        <f t="shared" si="6"/>
        <v>0</v>
      </c>
      <c r="E60" s="9">
        <f t="shared" si="6"/>
        <v>0</v>
      </c>
      <c r="F60" s="9">
        <f t="shared" si="6"/>
        <v>0</v>
      </c>
      <c r="G60" s="9">
        <f t="shared" si="6"/>
        <v>0</v>
      </c>
      <c r="H60" s="9">
        <f t="shared" si="6"/>
        <v>0</v>
      </c>
    </row>
    <row r="61" spans="1:8" hidden="1">
      <c r="A61" s="9">
        <f t="shared" si="9"/>
        <v>0</v>
      </c>
      <c r="B61" s="9">
        <f t="shared" si="10"/>
        <v>0</v>
      </c>
      <c r="C61" s="9">
        <f t="shared" ref="C61:H69" si="11">(B61/B$44)*C$44</f>
        <v>0</v>
      </c>
      <c r="D61" s="9">
        <f t="shared" si="11"/>
        <v>0</v>
      </c>
      <c r="E61" s="9">
        <f t="shared" si="11"/>
        <v>0</v>
      </c>
      <c r="F61" s="9">
        <f t="shared" si="11"/>
        <v>0</v>
      </c>
      <c r="G61" s="9">
        <f t="shared" si="11"/>
        <v>0</v>
      </c>
      <c r="H61" s="9">
        <f t="shared" si="11"/>
        <v>0</v>
      </c>
    </row>
    <row r="62" spans="1:8" hidden="1">
      <c r="A62" s="9">
        <f t="shared" ref="A62:A68" si="12">B33</f>
        <v>0</v>
      </c>
      <c r="B62" s="9">
        <f>H33*$B$44</f>
        <v>0</v>
      </c>
      <c r="C62" s="9">
        <f t="shared" si="11"/>
        <v>0</v>
      </c>
      <c r="D62" s="9">
        <f t="shared" ref="D62:D64" si="13">(C62/C$44)*D$44</f>
        <v>0</v>
      </c>
      <c r="E62" s="9">
        <f t="shared" ref="E62:E64" si="14">(D62/D$44)*E$44</f>
        <v>0</v>
      </c>
      <c r="F62" s="9">
        <f t="shared" ref="F62:F64" si="15">(E62/E$44)*F$44</f>
        <v>0</v>
      </c>
      <c r="G62" s="9">
        <f t="shared" ref="G62:G64" si="16">(F62/F$44)*G$44</f>
        <v>0</v>
      </c>
      <c r="H62" s="9">
        <f t="shared" ref="H62:H64" si="17">(G62/G$44)*H$44</f>
        <v>0</v>
      </c>
    </row>
    <row r="63" spans="1:8" hidden="1">
      <c r="A63" s="9">
        <f t="shared" si="12"/>
        <v>0</v>
      </c>
      <c r="B63" s="9">
        <f>H34*$B$44</f>
        <v>0</v>
      </c>
      <c r="C63" s="9">
        <f t="shared" si="11"/>
        <v>0</v>
      </c>
      <c r="D63" s="9">
        <f t="shared" si="13"/>
        <v>0</v>
      </c>
      <c r="E63" s="9">
        <f t="shared" si="14"/>
        <v>0</v>
      </c>
      <c r="F63" s="9">
        <f t="shared" si="15"/>
        <v>0</v>
      </c>
      <c r="G63" s="9">
        <f t="shared" si="16"/>
        <v>0</v>
      </c>
      <c r="H63" s="9">
        <f t="shared" si="17"/>
        <v>0</v>
      </c>
    </row>
    <row r="64" spans="1:8" hidden="1">
      <c r="A64" s="9">
        <f t="shared" si="12"/>
        <v>0</v>
      </c>
      <c r="B64" s="9">
        <f>H35*$B$44</f>
        <v>0</v>
      </c>
      <c r="C64" s="9">
        <f t="shared" si="11"/>
        <v>0</v>
      </c>
      <c r="D64" s="9">
        <f t="shared" si="13"/>
        <v>0</v>
      </c>
      <c r="E64" s="9">
        <f t="shared" si="14"/>
        <v>0</v>
      </c>
      <c r="F64" s="9">
        <f t="shared" si="15"/>
        <v>0</v>
      </c>
      <c r="G64" s="9">
        <f t="shared" si="16"/>
        <v>0</v>
      </c>
      <c r="H64" s="9">
        <f t="shared" si="17"/>
        <v>0</v>
      </c>
    </row>
    <row r="65" spans="1:8" hidden="1">
      <c r="A65" s="9">
        <f t="shared" si="12"/>
        <v>0</v>
      </c>
      <c r="B65" s="9"/>
      <c r="C65" s="9"/>
      <c r="D65" s="9"/>
      <c r="E65" s="9"/>
      <c r="F65" s="9"/>
      <c r="G65" s="9"/>
      <c r="H65" s="9"/>
    </row>
    <row r="66" spans="1:8" hidden="1">
      <c r="A66" s="9">
        <f t="shared" si="12"/>
        <v>0</v>
      </c>
      <c r="B66" s="9"/>
      <c r="C66" s="9"/>
      <c r="D66" s="9"/>
      <c r="E66" s="9"/>
      <c r="F66" s="9"/>
      <c r="G66" s="9"/>
      <c r="H66" s="9"/>
    </row>
    <row r="67" spans="1:8" hidden="1">
      <c r="A67" s="9">
        <f t="shared" si="12"/>
        <v>0</v>
      </c>
      <c r="B67" s="9"/>
      <c r="C67" s="9"/>
      <c r="D67" s="9"/>
      <c r="E67" s="9"/>
      <c r="F67" s="9"/>
      <c r="G67" s="9"/>
      <c r="H67" s="9"/>
    </row>
    <row r="68" spans="1:8" hidden="1">
      <c r="A68" s="9">
        <f t="shared" si="12"/>
        <v>0</v>
      </c>
      <c r="B68" s="9">
        <f>H39*$B$44</f>
        <v>0</v>
      </c>
      <c r="C68" s="9">
        <f t="shared" si="11"/>
        <v>0</v>
      </c>
      <c r="D68" s="9">
        <f t="shared" si="11"/>
        <v>0</v>
      </c>
      <c r="E68" s="9">
        <f t="shared" si="11"/>
        <v>0</v>
      </c>
      <c r="F68" s="9">
        <f t="shared" si="11"/>
        <v>0</v>
      </c>
      <c r="G68" s="9">
        <f t="shared" si="11"/>
        <v>0</v>
      </c>
      <c r="H68" s="9">
        <f t="shared" si="11"/>
        <v>0</v>
      </c>
    </row>
    <row r="69" spans="1:8" hidden="1">
      <c r="A69" s="9">
        <v>4</v>
      </c>
      <c r="B69" s="9">
        <f>H40*$B$44</f>
        <v>0</v>
      </c>
      <c r="C69" s="9">
        <f t="shared" si="11"/>
        <v>0</v>
      </c>
      <c r="D69" s="9">
        <f t="shared" si="11"/>
        <v>0</v>
      </c>
      <c r="E69" s="9">
        <f t="shared" ref="E69" si="18">(D69/D$44)*E$44</f>
        <v>0</v>
      </c>
      <c r="F69" s="9">
        <f t="shared" ref="F69" si="19">(E69/E$44)*F$44</f>
        <v>0</v>
      </c>
      <c r="G69" s="9">
        <f t="shared" ref="G69:H69" si="20">(F69/F$44)*G$44</f>
        <v>0</v>
      </c>
      <c r="H69" s="9">
        <f t="shared" si="20"/>
        <v>0</v>
      </c>
    </row>
    <row r="70" spans="1:8" ht="18.75">
      <c r="A70" s="439" t="s">
        <v>749</v>
      </c>
      <c r="B70" s="440"/>
      <c r="C70" s="440"/>
      <c r="D70" s="440"/>
      <c r="E70" s="440"/>
      <c r="F70" s="440"/>
      <c r="G70" s="440"/>
      <c r="H70" s="441"/>
    </row>
    <row r="71" spans="1:8">
      <c r="A71" s="449" t="s">
        <v>0</v>
      </c>
      <c r="B71" s="342">
        <v>0.15</v>
      </c>
      <c r="C71" s="342">
        <f t="shared" ref="C71:H71" si="21">B71+0.03</f>
        <v>0.18</v>
      </c>
      <c r="D71" s="342">
        <f t="shared" si="21"/>
        <v>0.21</v>
      </c>
      <c r="E71" s="342">
        <f t="shared" si="21"/>
        <v>0.24</v>
      </c>
      <c r="F71" s="342">
        <f t="shared" si="21"/>
        <v>0.27</v>
      </c>
      <c r="G71" s="342">
        <f t="shared" si="21"/>
        <v>0.30000000000000004</v>
      </c>
      <c r="H71" s="342">
        <f t="shared" si="21"/>
        <v>0.33000000000000007</v>
      </c>
    </row>
    <row r="72" spans="1:8">
      <c r="A72" s="450"/>
      <c r="B72" s="335" t="s">
        <v>2</v>
      </c>
      <c r="C72" s="335" t="s">
        <v>3</v>
      </c>
      <c r="D72" s="335" t="s">
        <v>4</v>
      </c>
      <c r="E72" s="335" t="s">
        <v>5</v>
      </c>
      <c r="F72" s="335" t="s">
        <v>6</v>
      </c>
      <c r="G72" s="335" t="s">
        <v>169</v>
      </c>
      <c r="H72" s="335" t="s">
        <v>168</v>
      </c>
    </row>
    <row r="73" spans="1:8">
      <c r="A73" s="9" t="str">
        <f>A47</f>
        <v>Cashew Nut</v>
      </c>
      <c r="B73" s="9">
        <f>H15*$B$71</f>
        <v>1995.84</v>
      </c>
      <c r="C73" s="9">
        <f t="shared" ref="C73:H82" si="22">(B73/B$71)*C$71</f>
        <v>2395.0079999999998</v>
      </c>
      <c r="D73" s="9">
        <f t="shared" si="22"/>
        <v>2794.1759999999995</v>
      </c>
      <c r="E73" s="9">
        <f t="shared" si="22"/>
        <v>3193.3439999999996</v>
      </c>
      <c r="F73" s="9">
        <f t="shared" si="22"/>
        <v>3592.5119999999997</v>
      </c>
      <c r="G73" s="9">
        <f t="shared" si="22"/>
        <v>3991.6800000000003</v>
      </c>
      <c r="H73" s="9">
        <f t="shared" si="22"/>
        <v>4390.8480000000009</v>
      </c>
    </row>
    <row r="74" spans="1:8">
      <c r="A74" s="9" t="s">
        <v>713</v>
      </c>
      <c r="B74" s="9">
        <f>H16*$B$71</f>
        <v>84</v>
      </c>
      <c r="C74" s="9">
        <f t="shared" si="22"/>
        <v>100.8</v>
      </c>
      <c r="D74" s="9">
        <f t="shared" si="22"/>
        <v>117.6</v>
      </c>
      <c r="E74" s="9">
        <f t="shared" si="22"/>
        <v>134.4</v>
      </c>
      <c r="F74" s="9">
        <f t="shared" si="22"/>
        <v>151.20000000000002</v>
      </c>
      <c r="G74" s="9">
        <f t="shared" si="22"/>
        <v>168.00000000000003</v>
      </c>
      <c r="H74" s="9">
        <f t="shared" si="22"/>
        <v>184.80000000000004</v>
      </c>
    </row>
    <row r="75" spans="1:8" hidden="1">
      <c r="A75" s="9">
        <f t="shared" ref="A75:A91" si="23">A48</f>
        <v>0</v>
      </c>
      <c r="B75" s="9">
        <f>H17*$B$71*0</f>
        <v>0</v>
      </c>
      <c r="C75" s="9">
        <f t="shared" si="22"/>
        <v>0</v>
      </c>
      <c r="D75" s="9">
        <f t="shared" si="22"/>
        <v>0</v>
      </c>
      <c r="E75" s="9">
        <f t="shared" si="22"/>
        <v>0</v>
      </c>
      <c r="F75" s="9">
        <f t="shared" si="22"/>
        <v>0</v>
      </c>
      <c r="G75" s="9">
        <f t="shared" si="22"/>
        <v>0</v>
      </c>
      <c r="H75" s="9">
        <f t="shared" si="22"/>
        <v>0</v>
      </c>
    </row>
    <row r="76" spans="1:8" hidden="1">
      <c r="A76" s="9">
        <f t="shared" si="23"/>
        <v>0</v>
      </c>
      <c r="B76" s="9">
        <f>H18*$B$71</f>
        <v>0</v>
      </c>
      <c r="C76" s="9">
        <f t="shared" si="22"/>
        <v>0</v>
      </c>
      <c r="D76" s="9">
        <f t="shared" si="22"/>
        <v>0</v>
      </c>
      <c r="E76" s="9">
        <f t="shared" si="22"/>
        <v>0</v>
      </c>
      <c r="F76" s="9">
        <f t="shared" si="22"/>
        <v>0</v>
      </c>
      <c r="G76" s="9">
        <f t="shared" si="22"/>
        <v>0</v>
      </c>
      <c r="H76" s="9">
        <f t="shared" si="22"/>
        <v>0</v>
      </c>
    </row>
    <row r="77" spans="1:8" hidden="1">
      <c r="A77" s="9">
        <f t="shared" si="23"/>
        <v>0</v>
      </c>
      <c r="B77" s="9">
        <f>H19*$B$71*0</f>
        <v>0</v>
      </c>
      <c r="C77" s="9">
        <f t="shared" si="22"/>
        <v>0</v>
      </c>
      <c r="D77" s="9">
        <f t="shared" si="22"/>
        <v>0</v>
      </c>
      <c r="E77" s="9">
        <f t="shared" si="22"/>
        <v>0</v>
      </c>
      <c r="F77" s="9">
        <f t="shared" si="22"/>
        <v>0</v>
      </c>
      <c r="G77" s="9">
        <f t="shared" si="22"/>
        <v>0</v>
      </c>
      <c r="H77" s="9">
        <f t="shared" si="22"/>
        <v>0</v>
      </c>
    </row>
    <row r="78" spans="1:8" hidden="1">
      <c r="A78" s="9">
        <f t="shared" si="23"/>
        <v>0</v>
      </c>
      <c r="B78" s="9">
        <f>H20*$B$71*0</f>
        <v>0</v>
      </c>
      <c r="C78" s="9">
        <f t="shared" si="22"/>
        <v>0</v>
      </c>
      <c r="D78" s="9">
        <f t="shared" si="22"/>
        <v>0</v>
      </c>
      <c r="E78" s="9">
        <f t="shared" si="22"/>
        <v>0</v>
      </c>
      <c r="F78" s="9">
        <f t="shared" si="22"/>
        <v>0</v>
      </c>
      <c r="G78" s="9">
        <f t="shared" si="22"/>
        <v>0</v>
      </c>
      <c r="H78" s="9">
        <f t="shared" si="22"/>
        <v>0</v>
      </c>
    </row>
    <row r="79" spans="1:8" hidden="1">
      <c r="A79" s="9">
        <f t="shared" si="23"/>
        <v>0</v>
      </c>
      <c r="B79" s="9">
        <f>H21*$B$71</f>
        <v>0</v>
      </c>
      <c r="C79" s="9">
        <f t="shared" si="22"/>
        <v>0</v>
      </c>
      <c r="D79" s="9">
        <f t="shared" si="22"/>
        <v>0</v>
      </c>
      <c r="E79" s="9">
        <f t="shared" si="22"/>
        <v>0</v>
      </c>
      <c r="F79" s="9">
        <f t="shared" si="22"/>
        <v>0</v>
      </c>
      <c r="G79" s="9">
        <f t="shared" si="22"/>
        <v>0</v>
      </c>
      <c r="H79" s="9">
        <f t="shared" si="22"/>
        <v>0</v>
      </c>
    </row>
    <row r="80" spans="1:8" hidden="1">
      <c r="A80" s="9">
        <f t="shared" si="23"/>
        <v>0</v>
      </c>
      <c r="B80" s="9">
        <f>H22*$B$71</f>
        <v>0</v>
      </c>
      <c r="C80" s="9">
        <f t="shared" si="22"/>
        <v>0</v>
      </c>
      <c r="D80" s="9">
        <f t="shared" si="22"/>
        <v>0</v>
      </c>
      <c r="E80" s="9">
        <f t="shared" si="22"/>
        <v>0</v>
      </c>
      <c r="F80" s="9">
        <f t="shared" si="22"/>
        <v>0</v>
      </c>
      <c r="G80" s="9">
        <f t="shared" si="22"/>
        <v>0</v>
      </c>
      <c r="H80" s="9">
        <f t="shared" si="22"/>
        <v>0</v>
      </c>
    </row>
    <row r="81" spans="1:8" hidden="1">
      <c r="A81" s="9">
        <f t="shared" si="23"/>
        <v>0</v>
      </c>
      <c r="B81" s="9">
        <f t="shared" ref="B81:B88" si="24">H24*$B$71</f>
        <v>0</v>
      </c>
      <c r="C81" s="9">
        <f t="shared" si="22"/>
        <v>0</v>
      </c>
      <c r="D81" s="9">
        <f t="shared" si="22"/>
        <v>0</v>
      </c>
      <c r="E81" s="9">
        <f t="shared" si="22"/>
        <v>0</v>
      </c>
      <c r="F81" s="9">
        <f t="shared" si="22"/>
        <v>0</v>
      </c>
      <c r="G81" s="9">
        <f t="shared" si="22"/>
        <v>0</v>
      </c>
      <c r="H81" s="9">
        <f t="shared" si="22"/>
        <v>0</v>
      </c>
    </row>
    <row r="82" spans="1:8" hidden="1">
      <c r="A82" s="9">
        <f t="shared" si="23"/>
        <v>0</v>
      </c>
      <c r="B82" s="9">
        <f t="shared" si="24"/>
        <v>0</v>
      </c>
      <c r="C82" s="9">
        <f t="shared" si="22"/>
        <v>0</v>
      </c>
      <c r="D82" s="9">
        <f t="shared" si="22"/>
        <v>0</v>
      </c>
      <c r="E82" s="9">
        <f t="shared" si="22"/>
        <v>0</v>
      </c>
      <c r="F82" s="9">
        <f t="shared" si="22"/>
        <v>0</v>
      </c>
      <c r="G82" s="9">
        <f t="shared" si="22"/>
        <v>0</v>
      </c>
      <c r="H82" s="9">
        <f t="shared" si="22"/>
        <v>0</v>
      </c>
    </row>
    <row r="83" spans="1:8" hidden="1">
      <c r="A83" s="9">
        <f t="shared" si="23"/>
        <v>0</v>
      </c>
      <c r="B83" s="9">
        <f t="shared" si="24"/>
        <v>0</v>
      </c>
      <c r="C83" s="9">
        <f t="shared" ref="C83:H89" si="25">(B83/B$71)*C$71</f>
        <v>0</v>
      </c>
      <c r="D83" s="9">
        <f t="shared" si="25"/>
        <v>0</v>
      </c>
      <c r="E83" s="9">
        <f t="shared" si="25"/>
        <v>0</v>
      </c>
      <c r="F83" s="9">
        <f t="shared" si="25"/>
        <v>0</v>
      </c>
      <c r="G83" s="9">
        <f t="shared" si="25"/>
        <v>0</v>
      </c>
      <c r="H83" s="9">
        <f t="shared" si="25"/>
        <v>0</v>
      </c>
    </row>
    <row r="84" spans="1:8" hidden="1">
      <c r="A84" s="9">
        <f t="shared" si="23"/>
        <v>0</v>
      </c>
      <c r="B84" s="9">
        <f t="shared" si="24"/>
        <v>0</v>
      </c>
      <c r="C84" s="9">
        <f t="shared" si="25"/>
        <v>0</v>
      </c>
      <c r="D84" s="9">
        <f t="shared" si="25"/>
        <v>0</v>
      </c>
      <c r="E84" s="9">
        <f t="shared" si="25"/>
        <v>0</v>
      </c>
      <c r="F84" s="9">
        <f t="shared" si="25"/>
        <v>0</v>
      </c>
      <c r="G84" s="9">
        <f t="shared" si="25"/>
        <v>0</v>
      </c>
      <c r="H84" s="9">
        <f t="shared" si="25"/>
        <v>0</v>
      </c>
    </row>
    <row r="85" spans="1:8" hidden="1">
      <c r="A85" s="9">
        <f t="shared" si="23"/>
        <v>0</v>
      </c>
      <c r="B85" s="9">
        <f t="shared" si="24"/>
        <v>0</v>
      </c>
      <c r="C85" s="9">
        <f t="shared" si="25"/>
        <v>0</v>
      </c>
      <c r="D85" s="9">
        <f t="shared" si="25"/>
        <v>0</v>
      </c>
      <c r="E85" s="9">
        <f t="shared" si="25"/>
        <v>0</v>
      </c>
      <c r="F85" s="9">
        <f t="shared" si="25"/>
        <v>0</v>
      </c>
      <c r="G85" s="9">
        <f t="shared" si="25"/>
        <v>0</v>
      </c>
      <c r="H85" s="9">
        <f t="shared" si="25"/>
        <v>0</v>
      </c>
    </row>
    <row r="86" spans="1:8" hidden="1">
      <c r="A86" s="9">
        <f t="shared" si="23"/>
        <v>0</v>
      </c>
      <c r="B86" s="9">
        <f t="shared" si="24"/>
        <v>0</v>
      </c>
      <c r="C86" s="9">
        <f t="shared" si="25"/>
        <v>0</v>
      </c>
      <c r="D86" s="9">
        <f t="shared" si="25"/>
        <v>0</v>
      </c>
      <c r="E86" s="9">
        <f t="shared" si="25"/>
        <v>0</v>
      </c>
      <c r="F86" s="9">
        <f t="shared" si="25"/>
        <v>0</v>
      </c>
      <c r="G86" s="9">
        <f t="shared" si="25"/>
        <v>0</v>
      </c>
      <c r="H86" s="9">
        <f t="shared" si="25"/>
        <v>0</v>
      </c>
    </row>
    <row r="87" spans="1:8" hidden="1">
      <c r="A87" s="9">
        <f t="shared" si="23"/>
        <v>0</v>
      </c>
      <c r="B87" s="9">
        <f t="shared" si="24"/>
        <v>0</v>
      </c>
      <c r="C87" s="9">
        <f t="shared" si="25"/>
        <v>0</v>
      </c>
      <c r="D87" s="9">
        <f t="shared" si="25"/>
        <v>0</v>
      </c>
      <c r="E87" s="9">
        <f t="shared" si="25"/>
        <v>0</v>
      </c>
      <c r="F87" s="9">
        <f t="shared" si="25"/>
        <v>0</v>
      </c>
      <c r="G87" s="9">
        <f t="shared" si="25"/>
        <v>0</v>
      </c>
      <c r="H87" s="9">
        <f t="shared" si="25"/>
        <v>0</v>
      </c>
    </row>
    <row r="88" spans="1:8" hidden="1">
      <c r="A88" s="9">
        <f t="shared" si="23"/>
        <v>0</v>
      </c>
      <c r="B88" s="9">
        <f t="shared" si="24"/>
        <v>0</v>
      </c>
      <c r="C88" s="9">
        <f t="shared" si="25"/>
        <v>0</v>
      </c>
      <c r="D88" s="9">
        <f t="shared" si="25"/>
        <v>0</v>
      </c>
      <c r="E88" s="9">
        <f t="shared" si="25"/>
        <v>0</v>
      </c>
      <c r="F88" s="9">
        <f t="shared" si="25"/>
        <v>0</v>
      </c>
      <c r="G88" s="9">
        <f t="shared" si="25"/>
        <v>0</v>
      </c>
      <c r="H88" s="9">
        <f t="shared" si="25"/>
        <v>0</v>
      </c>
    </row>
    <row r="89" spans="1:8" hidden="1">
      <c r="A89" s="9">
        <f t="shared" si="23"/>
        <v>0</v>
      </c>
      <c r="B89" s="9">
        <f>H33*$B$71</f>
        <v>0</v>
      </c>
      <c r="C89" s="9">
        <f t="shared" si="25"/>
        <v>0</v>
      </c>
      <c r="D89" s="9">
        <f t="shared" si="25"/>
        <v>0</v>
      </c>
      <c r="E89" s="9">
        <f t="shared" si="25"/>
        <v>0</v>
      </c>
      <c r="F89" s="9">
        <f t="shared" si="25"/>
        <v>0</v>
      </c>
      <c r="G89" s="9">
        <f t="shared" si="25"/>
        <v>0</v>
      </c>
      <c r="H89" s="9">
        <f t="shared" si="25"/>
        <v>0</v>
      </c>
    </row>
    <row r="90" spans="1:8" hidden="1">
      <c r="A90" s="9">
        <f t="shared" si="23"/>
        <v>0</v>
      </c>
      <c r="B90" s="9">
        <f>H34*$B$71</f>
        <v>0</v>
      </c>
      <c r="C90" s="9">
        <f t="shared" ref="C90:G91" si="26">(B90/B$71)*C$71</f>
        <v>0</v>
      </c>
      <c r="D90" s="9">
        <f t="shared" si="26"/>
        <v>0</v>
      </c>
      <c r="E90" s="9">
        <f t="shared" si="26"/>
        <v>0</v>
      </c>
      <c r="F90" s="9">
        <f t="shared" si="26"/>
        <v>0</v>
      </c>
      <c r="G90" s="9">
        <f t="shared" si="26"/>
        <v>0</v>
      </c>
      <c r="H90" s="9"/>
    </row>
    <row r="91" spans="1:8" hidden="1">
      <c r="A91" s="9">
        <f t="shared" si="23"/>
        <v>0</v>
      </c>
      <c r="B91" s="9">
        <f>H35*$B$71</f>
        <v>0</v>
      </c>
      <c r="C91" s="9">
        <f t="shared" si="26"/>
        <v>0</v>
      </c>
      <c r="D91" s="9">
        <f t="shared" si="26"/>
        <v>0</v>
      </c>
      <c r="E91" s="9">
        <f t="shared" si="26"/>
        <v>0</v>
      </c>
      <c r="F91" s="9">
        <f t="shared" si="26"/>
        <v>0</v>
      </c>
      <c r="G91" s="9">
        <f t="shared" si="26"/>
        <v>0</v>
      </c>
      <c r="H91" s="9"/>
    </row>
    <row r="92" spans="1:8" hidden="1">
      <c r="A92" s="9"/>
      <c r="B92" s="9"/>
      <c r="C92" s="9"/>
      <c r="D92" s="9"/>
      <c r="E92" s="9"/>
      <c r="F92" s="9"/>
      <c r="G92" s="9"/>
      <c r="H92" s="9"/>
    </row>
    <row r="93" spans="1:8" hidden="1">
      <c r="A93" s="9"/>
      <c r="B93" s="9"/>
      <c r="C93" s="9"/>
      <c r="D93" s="9"/>
      <c r="E93" s="9"/>
      <c r="F93" s="9"/>
      <c r="G93" s="9"/>
      <c r="H93" s="9"/>
    </row>
    <row r="94" spans="1:8" hidden="1">
      <c r="A94" s="9"/>
      <c r="B94" s="9"/>
      <c r="C94" s="9"/>
      <c r="D94" s="9"/>
      <c r="E94" s="9"/>
      <c r="F94" s="9"/>
      <c r="G94" s="9"/>
      <c r="H94" s="9"/>
    </row>
    <row r="95" spans="1:8" hidden="1">
      <c r="A95" s="9"/>
      <c r="B95" s="9"/>
      <c r="C95" s="9"/>
      <c r="D95" s="9"/>
      <c r="E95" s="9"/>
      <c r="F95" s="9"/>
      <c r="G95" s="9"/>
      <c r="H95" s="9"/>
    </row>
    <row r="96" spans="1:8" hidden="1">
      <c r="A96" s="9"/>
      <c r="B96" s="9"/>
      <c r="C96" s="9"/>
      <c r="D96" s="9"/>
      <c r="E96" s="9"/>
      <c r="F96" s="9"/>
      <c r="G96" s="9"/>
      <c r="H96" s="9"/>
    </row>
    <row r="97" spans="1:8" hidden="1">
      <c r="A97" s="262"/>
      <c r="B97" s="263"/>
      <c r="C97" s="263"/>
      <c r="D97" s="263"/>
      <c r="E97" s="263"/>
      <c r="F97" s="263"/>
      <c r="G97" s="263"/>
      <c r="H97" s="264"/>
    </row>
    <row r="98" spans="1:8">
      <c r="A98" s="262"/>
      <c r="B98" s="263"/>
      <c r="C98" s="263"/>
      <c r="D98" s="263"/>
      <c r="E98" s="263"/>
      <c r="F98" s="263"/>
      <c r="G98" s="263"/>
      <c r="H98" s="264"/>
    </row>
    <row r="99" spans="1:8" ht="18.75">
      <c r="A99" s="439" t="s">
        <v>748</v>
      </c>
      <c r="B99" s="440"/>
      <c r="C99" s="440"/>
      <c r="D99" s="440"/>
      <c r="E99" s="440"/>
      <c r="F99" s="440"/>
      <c r="G99" s="440"/>
      <c r="H99" s="441"/>
    </row>
    <row r="100" spans="1:8">
      <c r="A100" s="449" t="s">
        <v>0</v>
      </c>
      <c r="B100" s="342">
        <v>0.03</v>
      </c>
      <c r="C100" s="342">
        <f>B100+0.0075</f>
        <v>3.7499999999999999E-2</v>
      </c>
      <c r="D100" s="342">
        <f t="shared" ref="D100:H100" si="27">C100+0.0075</f>
        <v>4.4999999999999998E-2</v>
      </c>
      <c r="E100" s="342">
        <f t="shared" si="27"/>
        <v>5.2499999999999998E-2</v>
      </c>
      <c r="F100" s="342">
        <f t="shared" si="27"/>
        <v>0.06</v>
      </c>
      <c r="G100" s="342">
        <f t="shared" si="27"/>
        <v>6.7500000000000004E-2</v>
      </c>
      <c r="H100" s="342">
        <f t="shared" si="27"/>
        <v>7.5000000000000011E-2</v>
      </c>
    </row>
    <row r="101" spans="1:8">
      <c r="A101" s="450"/>
      <c r="B101" s="335" t="s">
        <v>2</v>
      </c>
      <c r="C101" s="335" t="s">
        <v>3</v>
      </c>
      <c r="D101" s="335" t="s">
        <v>4</v>
      </c>
      <c r="E101" s="335" t="s">
        <v>5</v>
      </c>
      <c r="F101" s="335" t="s">
        <v>6</v>
      </c>
      <c r="G101" s="335" t="s">
        <v>169</v>
      </c>
      <c r="H101" s="335" t="s">
        <v>168</v>
      </c>
    </row>
    <row r="102" spans="1:8">
      <c r="A102" s="9" t="s">
        <v>708</v>
      </c>
      <c r="B102" s="9">
        <f>H14*B100</f>
        <v>1008</v>
      </c>
      <c r="C102" s="9">
        <f>(B102/B$100)*C$100</f>
        <v>1260</v>
      </c>
      <c r="D102" s="9">
        <f t="shared" ref="D102:H102" si="28">(C102/C$100)*D$100</f>
        <v>1512</v>
      </c>
      <c r="E102" s="9">
        <f t="shared" si="28"/>
        <v>1764</v>
      </c>
      <c r="F102" s="9">
        <f t="shared" si="28"/>
        <v>2016</v>
      </c>
      <c r="G102" s="9">
        <f t="shared" si="28"/>
        <v>2268</v>
      </c>
      <c r="H102" s="9">
        <f t="shared" si="28"/>
        <v>2520.0000000000005</v>
      </c>
    </row>
    <row r="103" spans="1:8">
      <c r="A103" s="262"/>
      <c r="B103" s="263"/>
      <c r="C103" s="263"/>
      <c r="D103" s="263"/>
      <c r="E103" s="263"/>
      <c r="F103" s="263"/>
      <c r="G103" s="263"/>
      <c r="H103" s="264"/>
    </row>
    <row r="104" spans="1:8">
      <c r="A104" s="262"/>
      <c r="B104" s="263"/>
      <c r="C104" s="263"/>
      <c r="D104" s="263"/>
      <c r="E104" s="263"/>
      <c r="F104" s="263"/>
      <c r="G104" s="263"/>
      <c r="H104" s="264"/>
    </row>
    <row r="105" spans="1:8">
      <c r="A105" s="262"/>
      <c r="B105" s="263"/>
      <c r="C105" s="263"/>
      <c r="D105" s="263"/>
      <c r="E105" s="263"/>
      <c r="F105" s="263"/>
      <c r="G105" s="263"/>
      <c r="H105" s="264"/>
    </row>
    <row r="106" spans="1:8" ht="18.75">
      <c r="A106" s="439" t="s">
        <v>552</v>
      </c>
      <c r="B106" s="440"/>
      <c r="C106" s="440"/>
      <c r="D106" s="440"/>
      <c r="E106" s="440"/>
      <c r="F106" s="440"/>
      <c r="G106" s="440"/>
      <c r="H106" s="441"/>
    </row>
    <row r="107" spans="1:8">
      <c r="A107" s="451" t="s">
        <v>0</v>
      </c>
      <c r="B107" s="343">
        <v>0.65</v>
      </c>
      <c r="C107" s="344">
        <f>B107+0.05</f>
        <v>0.70000000000000007</v>
      </c>
      <c r="D107" s="344">
        <f t="shared" ref="D107:G107" si="29">C107+0.05</f>
        <v>0.75000000000000011</v>
      </c>
      <c r="E107" s="344">
        <f t="shared" si="29"/>
        <v>0.80000000000000016</v>
      </c>
      <c r="F107" s="344">
        <f t="shared" si="29"/>
        <v>0.8500000000000002</v>
      </c>
      <c r="G107" s="344">
        <f t="shared" si="29"/>
        <v>0.90000000000000024</v>
      </c>
      <c r="H107" s="344">
        <f>G107+0.05</f>
        <v>0.95000000000000029</v>
      </c>
    </row>
    <row r="108" spans="1:8">
      <c r="A108" s="452"/>
      <c r="B108" s="335" t="s">
        <v>2</v>
      </c>
      <c r="C108" s="335" t="s">
        <v>3</v>
      </c>
      <c r="D108" s="335" t="s">
        <v>4</v>
      </c>
      <c r="E108" s="335" t="s">
        <v>5</v>
      </c>
      <c r="F108" s="335" t="s">
        <v>6</v>
      </c>
      <c r="G108" s="335" t="s">
        <v>169</v>
      </c>
      <c r="H108" s="335" t="s">
        <v>168</v>
      </c>
    </row>
    <row r="109" spans="1:8">
      <c r="A109" s="9" t="e">
        <f>#REF!</f>
        <v>#REF!</v>
      </c>
      <c r="B109" s="9">
        <f>D14*$B$107*0</f>
        <v>0</v>
      </c>
      <c r="C109" s="9">
        <f t="shared" ref="C109:H124" si="30">(B109/B$107)*C$107</f>
        <v>0</v>
      </c>
      <c r="D109" s="9">
        <f t="shared" si="30"/>
        <v>0</v>
      </c>
      <c r="E109" s="9">
        <f t="shared" si="30"/>
        <v>0</v>
      </c>
      <c r="F109" s="9">
        <f t="shared" si="30"/>
        <v>0</v>
      </c>
      <c r="G109" s="9">
        <f t="shared" si="30"/>
        <v>0</v>
      </c>
      <c r="H109" s="9">
        <f t="shared" si="30"/>
        <v>0</v>
      </c>
    </row>
    <row r="110" spans="1:8">
      <c r="A110" s="9" t="str">
        <f t="shared" ref="A110:A133" si="31">A73</f>
        <v>Cashew Nut</v>
      </c>
      <c r="B110" s="9">
        <f>D15*$B$107*0</f>
        <v>0</v>
      </c>
      <c r="C110" s="9">
        <f t="shared" si="30"/>
        <v>0</v>
      </c>
      <c r="D110" s="9">
        <f>(C110/C107)*D107</f>
        <v>0</v>
      </c>
      <c r="E110" s="9">
        <f t="shared" ref="E110:G110" si="32">(D110/D107)*E107</f>
        <v>0</v>
      </c>
      <c r="F110" s="9">
        <f t="shared" si="32"/>
        <v>0</v>
      </c>
      <c r="G110" s="9">
        <f t="shared" si="32"/>
        <v>0</v>
      </c>
      <c r="H110" s="9">
        <f>(G110/G107)*H107</f>
        <v>0</v>
      </c>
    </row>
    <row r="111" spans="1:8">
      <c r="A111" s="9" t="str">
        <f t="shared" si="31"/>
        <v>Raw Cashew Nut</v>
      </c>
      <c r="B111" s="9">
        <f>D16*$B$107*0</f>
        <v>0</v>
      </c>
      <c r="C111" s="9">
        <f t="shared" si="30"/>
        <v>0</v>
      </c>
      <c r="D111" s="9">
        <f t="shared" si="30"/>
        <v>0</v>
      </c>
      <c r="E111" s="9">
        <f t="shared" si="30"/>
        <v>0</v>
      </c>
      <c r="F111" s="9">
        <f t="shared" si="30"/>
        <v>0</v>
      </c>
      <c r="G111" s="9">
        <f t="shared" si="30"/>
        <v>0</v>
      </c>
      <c r="H111" s="9">
        <f t="shared" si="30"/>
        <v>0</v>
      </c>
    </row>
    <row r="112" spans="1:8">
      <c r="A112" s="9">
        <f t="shared" si="31"/>
        <v>0</v>
      </c>
      <c r="B112" s="9">
        <f t="shared" ref="B112:B117" si="33">D17*$B$107</f>
        <v>0</v>
      </c>
      <c r="C112" s="9">
        <f t="shared" si="30"/>
        <v>0</v>
      </c>
      <c r="D112" s="9">
        <f t="shared" si="30"/>
        <v>0</v>
      </c>
      <c r="E112" s="9">
        <f t="shared" si="30"/>
        <v>0</v>
      </c>
      <c r="F112" s="9">
        <f t="shared" si="30"/>
        <v>0</v>
      </c>
      <c r="G112" s="9">
        <f t="shared" si="30"/>
        <v>0</v>
      </c>
      <c r="H112" s="9">
        <f t="shared" si="30"/>
        <v>0</v>
      </c>
    </row>
    <row r="113" spans="1:8">
      <c r="A113" s="9">
        <f t="shared" si="31"/>
        <v>0</v>
      </c>
      <c r="B113" s="9">
        <f t="shared" si="33"/>
        <v>0</v>
      </c>
      <c r="C113" s="9">
        <f t="shared" si="30"/>
        <v>0</v>
      </c>
      <c r="D113" s="9">
        <f t="shared" si="30"/>
        <v>0</v>
      </c>
      <c r="E113" s="9">
        <f t="shared" si="30"/>
        <v>0</v>
      </c>
      <c r="F113" s="9">
        <f t="shared" si="30"/>
        <v>0</v>
      </c>
      <c r="G113" s="9">
        <f t="shared" si="30"/>
        <v>0</v>
      </c>
      <c r="H113" s="9">
        <f t="shared" si="30"/>
        <v>0</v>
      </c>
    </row>
    <row r="114" spans="1:8">
      <c r="A114" s="9">
        <f t="shared" si="31"/>
        <v>0</v>
      </c>
      <c r="B114" s="9">
        <f t="shared" si="33"/>
        <v>0</v>
      </c>
      <c r="C114" s="9">
        <f t="shared" si="30"/>
        <v>0</v>
      </c>
      <c r="D114" s="9">
        <f t="shared" si="30"/>
        <v>0</v>
      </c>
      <c r="E114" s="9">
        <f t="shared" si="30"/>
        <v>0</v>
      </c>
      <c r="F114" s="9">
        <f t="shared" si="30"/>
        <v>0</v>
      </c>
      <c r="G114" s="9">
        <f t="shared" si="30"/>
        <v>0</v>
      </c>
      <c r="H114" s="9">
        <f t="shared" si="30"/>
        <v>0</v>
      </c>
    </row>
    <row r="115" spans="1:8">
      <c r="A115" s="9">
        <f t="shared" si="31"/>
        <v>0</v>
      </c>
      <c r="B115" s="9">
        <f t="shared" si="33"/>
        <v>0</v>
      </c>
      <c r="C115" s="9">
        <f t="shared" si="30"/>
        <v>0</v>
      </c>
      <c r="D115" s="9">
        <f t="shared" si="30"/>
        <v>0</v>
      </c>
      <c r="E115" s="9">
        <f t="shared" si="30"/>
        <v>0</v>
      </c>
      <c r="F115" s="9">
        <f t="shared" si="30"/>
        <v>0</v>
      </c>
      <c r="G115" s="9">
        <f t="shared" si="30"/>
        <v>0</v>
      </c>
      <c r="H115" s="9">
        <f t="shared" si="30"/>
        <v>0</v>
      </c>
    </row>
    <row r="116" spans="1:8">
      <c r="A116" s="9">
        <f t="shared" si="31"/>
        <v>0</v>
      </c>
      <c r="B116" s="9">
        <f t="shared" si="33"/>
        <v>0</v>
      </c>
      <c r="C116" s="9">
        <f t="shared" si="30"/>
        <v>0</v>
      </c>
      <c r="D116" s="9">
        <f t="shared" si="30"/>
        <v>0</v>
      </c>
      <c r="E116" s="9">
        <f t="shared" si="30"/>
        <v>0</v>
      </c>
      <c r="F116" s="9">
        <f t="shared" si="30"/>
        <v>0</v>
      </c>
      <c r="G116" s="9">
        <f t="shared" si="30"/>
        <v>0</v>
      </c>
      <c r="H116" s="9">
        <f t="shared" si="30"/>
        <v>0</v>
      </c>
    </row>
    <row r="117" spans="1:8">
      <c r="A117" s="9">
        <f t="shared" si="31"/>
        <v>0</v>
      </c>
      <c r="B117" s="9">
        <f t="shared" si="33"/>
        <v>0</v>
      </c>
      <c r="C117" s="9">
        <f t="shared" si="30"/>
        <v>0</v>
      </c>
      <c r="D117" s="9">
        <f t="shared" si="30"/>
        <v>0</v>
      </c>
      <c r="E117" s="9">
        <f t="shared" si="30"/>
        <v>0</v>
      </c>
      <c r="F117" s="9">
        <f t="shared" si="30"/>
        <v>0</v>
      </c>
      <c r="G117" s="9">
        <f t="shared" si="30"/>
        <v>0</v>
      </c>
      <c r="H117" s="9">
        <f t="shared" si="30"/>
        <v>0</v>
      </c>
    </row>
    <row r="118" spans="1:8">
      <c r="A118" s="9">
        <f t="shared" si="31"/>
        <v>0</v>
      </c>
      <c r="B118" s="9">
        <f t="shared" ref="B118:B125" si="34">D24*$B$107</f>
        <v>0</v>
      </c>
      <c r="C118" s="9">
        <f t="shared" si="30"/>
        <v>0</v>
      </c>
      <c r="D118" s="9">
        <f t="shared" si="30"/>
        <v>0</v>
      </c>
      <c r="E118" s="9">
        <f t="shared" si="30"/>
        <v>0</v>
      </c>
      <c r="F118" s="9">
        <f t="shared" si="30"/>
        <v>0</v>
      </c>
      <c r="G118" s="9">
        <f t="shared" si="30"/>
        <v>0</v>
      </c>
      <c r="H118" s="9">
        <f t="shared" si="30"/>
        <v>0</v>
      </c>
    </row>
    <row r="119" spans="1:8">
      <c r="A119" s="9">
        <f t="shared" si="31"/>
        <v>0</v>
      </c>
      <c r="B119" s="9">
        <f t="shared" si="34"/>
        <v>0</v>
      </c>
      <c r="C119" s="9">
        <f t="shared" si="30"/>
        <v>0</v>
      </c>
      <c r="D119" s="9">
        <f t="shared" si="30"/>
        <v>0</v>
      </c>
      <c r="E119" s="9">
        <f t="shared" si="30"/>
        <v>0</v>
      </c>
      <c r="F119" s="9">
        <f t="shared" si="30"/>
        <v>0</v>
      </c>
      <c r="G119" s="9">
        <f t="shared" si="30"/>
        <v>0</v>
      </c>
      <c r="H119" s="9">
        <f t="shared" si="30"/>
        <v>0</v>
      </c>
    </row>
    <row r="120" spans="1:8">
      <c r="A120" s="9">
        <f t="shared" si="31"/>
        <v>0</v>
      </c>
      <c r="B120" s="9">
        <f t="shared" si="34"/>
        <v>0</v>
      </c>
      <c r="C120" s="9">
        <f t="shared" si="30"/>
        <v>0</v>
      </c>
      <c r="D120" s="9">
        <f t="shared" si="30"/>
        <v>0</v>
      </c>
      <c r="E120" s="9">
        <f t="shared" si="30"/>
        <v>0</v>
      </c>
      <c r="F120" s="9">
        <f t="shared" si="30"/>
        <v>0</v>
      </c>
      <c r="G120" s="9">
        <f t="shared" si="30"/>
        <v>0</v>
      </c>
      <c r="H120" s="9">
        <f t="shared" si="30"/>
        <v>0</v>
      </c>
    </row>
    <row r="121" spans="1:8">
      <c r="A121" s="9">
        <f t="shared" si="31"/>
        <v>0</v>
      </c>
      <c r="B121" s="9">
        <f t="shared" si="34"/>
        <v>0</v>
      </c>
      <c r="C121" s="9">
        <f t="shared" si="30"/>
        <v>0</v>
      </c>
      <c r="D121" s="9">
        <f t="shared" si="30"/>
        <v>0</v>
      </c>
      <c r="E121" s="9">
        <f t="shared" si="30"/>
        <v>0</v>
      </c>
      <c r="F121" s="9">
        <f t="shared" si="30"/>
        <v>0</v>
      </c>
      <c r="G121" s="9">
        <f t="shared" si="30"/>
        <v>0</v>
      </c>
      <c r="H121" s="9">
        <f t="shared" si="30"/>
        <v>0</v>
      </c>
    </row>
    <row r="122" spans="1:8">
      <c r="A122" s="9">
        <f t="shared" si="31"/>
        <v>0</v>
      </c>
      <c r="B122" s="9">
        <f t="shared" si="34"/>
        <v>0</v>
      </c>
      <c r="C122" s="9">
        <f t="shared" si="30"/>
        <v>0</v>
      </c>
      <c r="D122" s="9">
        <f t="shared" si="30"/>
        <v>0</v>
      </c>
      <c r="E122" s="9">
        <f t="shared" si="30"/>
        <v>0</v>
      </c>
      <c r="F122" s="9">
        <f t="shared" si="30"/>
        <v>0</v>
      </c>
      <c r="G122" s="9">
        <f t="shared" si="30"/>
        <v>0</v>
      </c>
      <c r="H122" s="9">
        <f t="shared" si="30"/>
        <v>0</v>
      </c>
    </row>
    <row r="123" spans="1:8">
      <c r="A123" s="9">
        <f t="shared" si="31"/>
        <v>0</v>
      </c>
      <c r="B123" s="9">
        <f t="shared" si="34"/>
        <v>0</v>
      </c>
      <c r="C123" s="9">
        <f t="shared" si="30"/>
        <v>0</v>
      </c>
      <c r="D123" s="9">
        <f t="shared" si="30"/>
        <v>0</v>
      </c>
      <c r="E123" s="9">
        <f t="shared" si="30"/>
        <v>0</v>
      </c>
      <c r="F123" s="9">
        <f t="shared" si="30"/>
        <v>0</v>
      </c>
      <c r="G123" s="9">
        <f t="shared" si="30"/>
        <v>0</v>
      </c>
      <c r="H123" s="9">
        <f t="shared" si="30"/>
        <v>0</v>
      </c>
    </row>
    <row r="124" spans="1:8">
      <c r="A124" s="9">
        <f t="shared" si="31"/>
        <v>0</v>
      </c>
      <c r="B124" s="9">
        <f t="shared" si="34"/>
        <v>0</v>
      </c>
      <c r="C124" s="9">
        <f t="shared" si="30"/>
        <v>0</v>
      </c>
      <c r="D124" s="9">
        <f t="shared" si="30"/>
        <v>0</v>
      </c>
      <c r="E124" s="9">
        <f t="shared" si="30"/>
        <v>0</v>
      </c>
      <c r="F124" s="9">
        <f t="shared" si="30"/>
        <v>0</v>
      </c>
      <c r="G124" s="9">
        <f t="shared" si="30"/>
        <v>0</v>
      </c>
      <c r="H124" s="9">
        <f t="shared" si="30"/>
        <v>0</v>
      </c>
    </row>
    <row r="125" spans="1:8">
      <c r="A125" s="9">
        <f t="shared" si="31"/>
        <v>0</v>
      </c>
      <c r="B125" s="9">
        <f t="shared" si="34"/>
        <v>0</v>
      </c>
      <c r="C125" s="9">
        <f t="shared" ref="C125:H133" si="35">(B125/B$107)*C$107</f>
        <v>0</v>
      </c>
      <c r="D125" s="9">
        <f t="shared" si="35"/>
        <v>0</v>
      </c>
      <c r="E125" s="9">
        <f t="shared" si="35"/>
        <v>0</v>
      </c>
      <c r="F125" s="9">
        <f t="shared" si="35"/>
        <v>0</v>
      </c>
      <c r="G125" s="9">
        <f t="shared" si="35"/>
        <v>0</v>
      </c>
      <c r="H125" s="9">
        <f t="shared" si="35"/>
        <v>0</v>
      </c>
    </row>
    <row r="126" spans="1:8">
      <c r="A126" s="9">
        <f t="shared" si="31"/>
        <v>0</v>
      </c>
      <c r="B126" s="9">
        <f>D33*$B$107</f>
        <v>0</v>
      </c>
      <c r="C126" s="9">
        <f t="shared" si="35"/>
        <v>0</v>
      </c>
      <c r="D126" s="9">
        <f t="shared" si="35"/>
        <v>0</v>
      </c>
      <c r="E126" s="9">
        <f t="shared" si="35"/>
        <v>0</v>
      </c>
      <c r="F126" s="9">
        <f t="shared" si="35"/>
        <v>0</v>
      </c>
      <c r="G126" s="9">
        <f t="shared" si="35"/>
        <v>0</v>
      </c>
      <c r="H126" s="9">
        <f t="shared" si="35"/>
        <v>0</v>
      </c>
    </row>
    <row r="127" spans="1:8">
      <c r="A127" s="9">
        <f t="shared" si="31"/>
        <v>0</v>
      </c>
      <c r="B127" s="9">
        <f>D34*$B$107</f>
        <v>0</v>
      </c>
      <c r="C127" s="9">
        <f t="shared" si="35"/>
        <v>0</v>
      </c>
      <c r="D127" s="9">
        <f t="shared" ref="D127:D129" si="36">(C127/C$107)*D$107</f>
        <v>0</v>
      </c>
      <c r="E127" s="9">
        <f t="shared" ref="E127:E129" si="37">(D127/D$107)*E$107</f>
        <v>0</v>
      </c>
      <c r="F127" s="9">
        <f t="shared" ref="F127:F129" si="38">(E127/E$107)*F$107</f>
        <v>0</v>
      </c>
      <c r="G127" s="9">
        <f t="shared" ref="G127:G129" si="39">(F127/F$107)*G$107</f>
        <v>0</v>
      </c>
      <c r="H127" s="9">
        <f t="shared" si="35"/>
        <v>0</v>
      </c>
    </row>
    <row r="128" spans="1:8">
      <c r="A128" s="9">
        <f t="shared" si="31"/>
        <v>0</v>
      </c>
      <c r="B128" s="9">
        <f>D35*$B$107</f>
        <v>0</v>
      </c>
      <c r="C128" s="9">
        <f t="shared" si="35"/>
        <v>0</v>
      </c>
      <c r="D128" s="9">
        <f t="shared" si="36"/>
        <v>0</v>
      </c>
      <c r="E128" s="9">
        <f t="shared" si="37"/>
        <v>0</v>
      </c>
      <c r="F128" s="9">
        <f t="shared" si="38"/>
        <v>0</v>
      </c>
      <c r="G128" s="9">
        <f t="shared" si="39"/>
        <v>0</v>
      </c>
      <c r="H128" s="9">
        <f t="shared" si="35"/>
        <v>0</v>
      </c>
    </row>
    <row r="129" spans="1:9">
      <c r="A129" s="9">
        <f t="shared" si="31"/>
        <v>0</v>
      </c>
      <c r="B129" s="9">
        <f>D36*$B$107*0</f>
        <v>0</v>
      </c>
      <c r="C129" s="9">
        <f t="shared" si="35"/>
        <v>0</v>
      </c>
      <c r="D129" s="9">
        <f t="shared" si="36"/>
        <v>0</v>
      </c>
      <c r="E129" s="9">
        <f t="shared" si="37"/>
        <v>0</v>
      </c>
      <c r="F129" s="9">
        <f t="shared" si="38"/>
        <v>0</v>
      </c>
      <c r="G129" s="9">
        <f t="shared" si="39"/>
        <v>0</v>
      </c>
      <c r="H129" s="9">
        <f t="shared" si="35"/>
        <v>0</v>
      </c>
    </row>
    <row r="130" spans="1:9">
      <c r="A130" s="9">
        <f t="shared" si="31"/>
        <v>0</v>
      </c>
      <c r="B130" s="9">
        <f>D37*$B$107*0</f>
        <v>0</v>
      </c>
      <c r="C130" s="9">
        <f t="shared" si="35"/>
        <v>0</v>
      </c>
      <c r="D130" s="9">
        <f t="shared" si="35"/>
        <v>0</v>
      </c>
      <c r="E130" s="9">
        <f t="shared" si="35"/>
        <v>0</v>
      </c>
      <c r="F130" s="9">
        <f t="shared" si="35"/>
        <v>0</v>
      </c>
      <c r="G130" s="9">
        <f t="shared" si="35"/>
        <v>0</v>
      </c>
      <c r="H130" s="9">
        <f t="shared" si="35"/>
        <v>0</v>
      </c>
    </row>
    <row r="131" spans="1:9">
      <c r="A131" s="9">
        <f t="shared" si="31"/>
        <v>0</v>
      </c>
      <c r="B131" s="9">
        <f>D38*$B$107*0</f>
        <v>0</v>
      </c>
      <c r="C131" s="9">
        <f t="shared" si="35"/>
        <v>0</v>
      </c>
      <c r="D131" s="9">
        <f t="shared" ref="D131" si="40">(C131/C$107)*D$107</f>
        <v>0</v>
      </c>
      <c r="E131" s="9">
        <f t="shared" ref="E131" si="41">(D131/D$107)*E$107</f>
        <v>0</v>
      </c>
      <c r="F131" s="9">
        <f t="shared" ref="F131" si="42">(E131/E$107)*F$107</f>
        <v>0</v>
      </c>
      <c r="G131" s="9">
        <f t="shared" ref="G131" si="43">(F131/F$107)*G$107</f>
        <v>0</v>
      </c>
      <c r="H131" s="9">
        <f t="shared" si="35"/>
        <v>0</v>
      </c>
    </row>
    <row r="132" spans="1:9">
      <c r="A132" s="9">
        <f t="shared" si="31"/>
        <v>0</v>
      </c>
      <c r="B132" s="9">
        <f>D39*$B$107</f>
        <v>0</v>
      </c>
      <c r="C132" s="9">
        <f t="shared" si="35"/>
        <v>0</v>
      </c>
      <c r="D132" s="9">
        <f t="shared" si="35"/>
        <v>0</v>
      </c>
      <c r="E132" s="9">
        <f t="shared" si="35"/>
        <v>0</v>
      </c>
      <c r="F132" s="9">
        <f t="shared" si="35"/>
        <v>0</v>
      </c>
      <c r="G132" s="9">
        <f t="shared" si="35"/>
        <v>0</v>
      </c>
      <c r="H132" s="9">
        <f t="shared" si="35"/>
        <v>0</v>
      </c>
    </row>
    <row r="133" spans="1:9">
      <c r="A133" s="9">
        <f t="shared" si="31"/>
        <v>0</v>
      </c>
      <c r="B133" s="9">
        <f>D40*$B$107</f>
        <v>0</v>
      </c>
      <c r="C133" s="9">
        <f t="shared" si="35"/>
        <v>0</v>
      </c>
      <c r="D133" s="9">
        <f t="shared" si="35"/>
        <v>0</v>
      </c>
      <c r="E133" s="9">
        <f t="shared" si="35"/>
        <v>0</v>
      </c>
      <c r="F133" s="9">
        <f t="shared" si="35"/>
        <v>0</v>
      </c>
      <c r="G133" s="9">
        <f t="shared" si="35"/>
        <v>0</v>
      </c>
      <c r="H133" s="9">
        <f t="shared" si="35"/>
        <v>0</v>
      </c>
    </row>
    <row r="135" spans="1:9">
      <c r="C135" s="4"/>
      <c r="D135" s="6"/>
      <c r="E135" s="6"/>
      <c r="F135" s="6"/>
      <c r="G135" s="6"/>
      <c r="H135" s="6"/>
      <c r="I135" s="6"/>
    </row>
    <row r="136" spans="1:9">
      <c r="A136" t="s">
        <v>517</v>
      </c>
      <c r="C136" s="13"/>
      <c r="D136" s="13"/>
      <c r="E136" s="13"/>
      <c r="F136" s="13"/>
      <c r="G136" s="13"/>
      <c r="H136" s="13"/>
      <c r="I136" s="13"/>
    </row>
    <row r="137" spans="1:9">
      <c r="A137">
        <v>1</v>
      </c>
      <c r="B137" t="s">
        <v>518</v>
      </c>
    </row>
    <row r="138" spans="1:9">
      <c r="A138">
        <v>2</v>
      </c>
      <c r="B138" t="s">
        <v>519</v>
      </c>
    </row>
    <row r="139" spans="1:9">
      <c r="A139">
        <v>3</v>
      </c>
      <c r="B139" t="s">
        <v>520</v>
      </c>
    </row>
  </sheetData>
  <mergeCells count="15">
    <mergeCell ref="A106:H106"/>
    <mergeCell ref="A107:A108"/>
    <mergeCell ref="A3:B3"/>
    <mergeCell ref="A11:H11"/>
    <mergeCell ref="A14:A22"/>
    <mergeCell ref="A24:A31"/>
    <mergeCell ref="A37:A40"/>
    <mergeCell ref="A41:H41"/>
    <mergeCell ref="A99:H99"/>
    <mergeCell ref="A100:A101"/>
    <mergeCell ref="A1:H1"/>
    <mergeCell ref="A43:H43"/>
    <mergeCell ref="A44:A45"/>
    <mergeCell ref="A70:H70"/>
    <mergeCell ref="A71:A72"/>
  </mergeCells>
  <pageMargins left="0.7" right="0.7" top="0.75" bottom="0.75"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dimension ref="A2:T118"/>
  <sheetViews>
    <sheetView view="pageBreakPreview" zoomScale="80" zoomScaleSheetLayoutView="80" workbookViewId="0">
      <selection activeCell="L34" sqref="L34"/>
    </sheetView>
  </sheetViews>
  <sheetFormatPr defaultRowHeight="15"/>
  <cols>
    <col min="1" max="1" width="36" customWidth="1"/>
    <col min="2" max="2" width="11.5703125" customWidth="1"/>
    <col min="3" max="3" width="10.140625" customWidth="1"/>
    <col min="4" max="4" width="13.5703125" customWidth="1"/>
    <col min="5" max="5" width="12.85546875" customWidth="1"/>
    <col min="6" max="6" width="18.28515625" bestFit="1" customWidth="1"/>
    <col min="7" max="10" width="15.7109375" bestFit="1" customWidth="1"/>
    <col min="11" max="11" width="10.5703125" bestFit="1" customWidth="1"/>
    <col min="13" max="13" width="22.7109375" bestFit="1" customWidth="1"/>
    <col min="14" max="14" width="12.7109375" bestFit="1" customWidth="1"/>
  </cols>
  <sheetData>
    <row r="2" spans="1:8" ht="18.75">
      <c r="A2" s="381" t="s">
        <v>553</v>
      </c>
      <c r="B2" s="381"/>
      <c r="C2" s="381"/>
      <c r="D2" s="381"/>
      <c r="E2" s="381"/>
      <c r="F2" s="381"/>
      <c r="G2" s="381"/>
      <c r="H2" s="381"/>
    </row>
    <row r="3" spans="1:8" ht="18.75">
      <c r="A3" s="381" t="s">
        <v>554</v>
      </c>
      <c r="B3" s="381"/>
      <c r="C3" s="381"/>
      <c r="D3" s="381"/>
      <c r="E3" s="381"/>
      <c r="F3" s="381"/>
      <c r="G3" s="381"/>
      <c r="H3" s="381"/>
    </row>
    <row r="4" spans="1:8">
      <c r="B4" s="67"/>
      <c r="C4" s="67"/>
      <c r="D4" s="67"/>
      <c r="E4" s="67"/>
      <c r="F4" s="384" t="s">
        <v>470</v>
      </c>
      <c r="G4" s="384"/>
      <c r="H4" s="384"/>
    </row>
    <row r="5" spans="1:8">
      <c r="A5" s="67" t="s">
        <v>162</v>
      </c>
      <c r="B5" s="309">
        <v>6</v>
      </c>
      <c r="C5" s="67" t="s">
        <v>447</v>
      </c>
      <c r="D5" s="67"/>
      <c r="E5" s="67"/>
      <c r="F5" s="334" t="s">
        <v>471</v>
      </c>
      <c r="G5" s="334" t="s">
        <v>472</v>
      </c>
      <c r="H5" s="67"/>
    </row>
    <row r="6" spans="1:8">
      <c r="A6" s="67" t="s">
        <v>163</v>
      </c>
      <c r="B6" s="309">
        <v>8</v>
      </c>
      <c r="C6" s="67"/>
      <c r="D6" s="67"/>
      <c r="E6" s="67"/>
      <c r="F6" s="9" t="s">
        <v>468</v>
      </c>
      <c r="G6" s="223" t="s">
        <v>451</v>
      </c>
      <c r="H6" s="67"/>
    </row>
    <row r="7" spans="1:8">
      <c r="A7" s="67"/>
      <c r="B7" s="67"/>
      <c r="C7" s="67"/>
      <c r="D7" s="67"/>
      <c r="E7" s="67"/>
      <c r="F7" s="9" t="s">
        <v>469</v>
      </c>
      <c r="G7" s="223">
        <v>0.01</v>
      </c>
      <c r="H7" s="67"/>
    </row>
    <row r="8" spans="1:8">
      <c r="A8" s="67" t="s">
        <v>497</v>
      </c>
      <c r="B8" s="266">
        <f>AVERAGE(B10:H10)</f>
        <v>180.18000000000004</v>
      </c>
      <c r="C8" s="67"/>
      <c r="D8" s="67"/>
      <c r="E8" s="67"/>
      <c r="F8" s="9"/>
      <c r="G8" s="223"/>
      <c r="H8" s="67"/>
    </row>
    <row r="9" spans="1:8">
      <c r="A9" s="315" t="s">
        <v>0</v>
      </c>
      <c r="B9" s="316" t="s">
        <v>2</v>
      </c>
      <c r="C9" s="316" t="s">
        <v>3</v>
      </c>
      <c r="D9" s="316" t="s">
        <v>4</v>
      </c>
      <c r="E9" s="316" t="s">
        <v>5</v>
      </c>
      <c r="F9" s="316" t="s">
        <v>6</v>
      </c>
      <c r="G9" s="316" t="s">
        <v>169</v>
      </c>
      <c r="H9" s="316" t="s">
        <v>168</v>
      </c>
    </row>
    <row r="10" spans="1:8">
      <c r="A10" s="68" t="s">
        <v>446</v>
      </c>
      <c r="B10" s="265">
        <f>B36/($B$5*$B$6)</f>
        <v>138.6</v>
      </c>
      <c r="C10" s="265">
        <f t="shared" ref="C10:H10" si="0">C36/($B$5*$B$6)</f>
        <v>152.46</v>
      </c>
      <c r="D10" s="265">
        <f t="shared" si="0"/>
        <v>166.32000000000002</v>
      </c>
      <c r="E10" s="265">
        <f t="shared" si="0"/>
        <v>180.18000000000004</v>
      </c>
      <c r="F10" s="265">
        <f t="shared" si="0"/>
        <v>194.04000000000005</v>
      </c>
      <c r="G10" s="265">
        <f t="shared" si="0"/>
        <v>207.90000000000006</v>
      </c>
      <c r="H10" s="265">
        <f t="shared" si="0"/>
        <v>221.76000000000008</v>
      </c>
    </row>
    <row r="11" spans="1:8">
      <c r="A11" s="155" t="s">
        <v>655</v>
      </c>
      <c r="B11" s="155">
        <f>'11.F&amp;V Crop Production details'!B47</f>
        <v>6652.8</v>
      </c>
      <c r="C11" s="155">
        <f>'11.F&amp;V Crop Production details'!C47</f>
        <v>7318.0800000000008</v>
      </c>
      <c r="D11" s="155">
        <f>'11.F&amp;V Crop Production details'!D47</f>
        <v>7983.3600000000015</v>
      </c>
      <c r="E11" s="155">
        <f>'11.F&amp;V Crop Production details'!E47</f>
        <v>8648.6400000000012</v>
      </c>
      <c r="F11" s="155">
        <f>'11.F&amp;V Crop Production details'!F47</f>
        <v>9313.9200000000019</v>
      </c>
      <c r="G11" s="155">
        <f>'11.F&amp;V Crop Production details'!G47</f>
        <v>9979.2000000000025</v>
      </c>
      <c r="H11" s="155">
        <f>'11.F&amp;V Crop Production details'!H47</f>
        <v>10644.480000000003</v>
      </c>
    </row>
    <row r="12" spans="1:8" hidden="1">
      <c r="A12" s="155">
        <f>'10.Grain Production details'!A43</f>
        <v>0</v>
      </c>
      <c r="B12" s="155">
        <f>'10.Grain Production details'!B43</f>
        <v>0</v>
      </c>
      <c r="C12" s="155">
        <f>'10.Grain Production details'!C43</f>
        <v>0</v>
      </c>
      <c r="D12" s="155">
        <f>'10.Grain Production details'!D43</f>
        <v>0</v>
      </c>
      <c r="E12" s="155">
        <f>'10.Grain Production details'!E43</f>
        <v>0</v>
      </c>
      <c r="F12" s="155">
        <f>'10.Grain Production details'!F43</f>
        <v>0</v>
      </c>
      <c r="G12" s="155">
        <f>'10.Grain Production details'!G43</f>
        <v>0</v>
      </c>
      <c r="H12" s="155">
        <f>'10.Grain Production details'!H43</f>
        <v>0</v>
      </c>
    </row>
    <row r="13" spans="1:8" hidden="1">
      <c r="A13" s="155">
        <f>'10.Grain Production details'!A44</f>
        <v>0</v>
      </c>
      <c r="B13" s="155">
        <f>'10.Grain Production details'!B44</f>
        <v>0</v>
      </c>
      <c r="C13" s="155">
        <f>'10.Grain Production details'!C44</f>
        <v>0</v>
      </c>
      <c r="D13" s="155">
        <f>'10.Grain Production details'!D44</f>
        <v>0</v>
      </c>
      <c r="E13" s="155">
        <f>'10.Grain Production details'!E44</f>
        <v>0</v>
      </c>
      <c r="F13" s="155">
        <f>'10.Grain Production details'!F44</f>
        <v>0</v>
      </c>
      <c r="G13" s="155">
        <f>'10.Grain Production details'!G44</f>
        <v>0</v>
      </c>
      <c r="H13" s="155">
        <f>'10.Grain Production details'!H44</f>
        <v>0</v>
      </c>
    </row>
    <row r="14" spans="1:8" hidden="1">
      <c r="A14" s="155">
        <f>'10.Grain Production details'!A45</f>
        <v>0</v>
      </c>
      <c r="B14" s="155">
        <f>'10.Grain Production details'!B45</f>
        <v>0</v>
      </c>
      <c r="C14" s="155">
        <f>'10.Grain Production details'!C45</f>
        <v>0</v>
      </c>
      <c r="D14" s="155">
        <f>'10.Grain Production details'!D45</f>
        <v>0</v>
      </c>
      <c r="E14" s="155">
        <f>'10.Grain Production details'!E45</f>
        <v>0</v>
      </c>
      <c r="F14" s="155">
        <f>'10.Grain Production details'!F45</f>
        <v>0</v>
      </c>
      <c r="G14" s="155">
        <f>'10.Grain Production details'!G45</f>
        <v>0</v>
      </c>
      <c r="H14" s="155">
        <f>'10.Grain Production details'!H45</f>
        <v>0</v>
      </c>
    </row>
    <row r="15" spans="1:8" hidden="1">
      <c r="A15" s="155">
        <f>'10.Grain Production details'!A46</f>
        <v>0</v>
      </c>
      <c r="B15" s="155">
        <f>'10.Grain Production details'!B46</f>
        <v>0</v>
      </c>
      <c r="C15" s="155">
        <f>'10.Grain Production details'!C46</f>
        <v>0</v>
      </c>
      <c r="D15" s="155">
        <f>'10.Grain Production details'!D46</f>
        <v>0</v>
      </c>
      <c r="E15" s="155">
        <f>'10.Grain Production details'!E46</f>
        <v>0</v>
      </c>
      <c r="F15" s="155">
        <f>'10.Grain Production details'!F46</f>
        <v>0</v>
      </c>
      <c r="G15" s="155">
        <f>'10.Grain Production details'!G46</f>
        <v>0</v>
      </c>
      <c r="H15" s="155">
        <f>'10.Grain Production details'!H46</f>
        <v>0</v>
      </c>
    </row>
    <row r="16" spans="1:8" hidden="1">
      <c r="A16" s="155">
        <f>'10.Grain Production details'!A47</f>
        <v>0</v>
      </c>
      <c r="B16" s="155">
        <f>'10.Grain Production details'!B47</f>
        <v>0</v>
      </c>
      <c r="C16" s="155">
        <f>'10.Grain Production details'!C47</f>
        <v>0</v>
      </c>
      <c r="D16" s="155">
        <f>'10.Grain Production details'!D47</f>
        <v>0</v>
      </c>
      <c r="E16" s="155">
        <f>'10.Grain Production details'!E47</f>
        <v>0</v>
      </c>
      <c r="F16" s="155">
        <f>'10.Grain Production details'!F47</f>
        <v>0</v>
      </c>
      <c r="G16" s="155">
        <f>'10.Grain Production details'!G47</f>
        <v>0</v>
      </c>
      <c r="H16" s="155">
        <f>'10.Grain Production details'!H47</f>
        <v>0</v>
      </c>
    </row>
    <row r="17" spans="1:8" hidden="1">
      <c r="A17" s="155">
        <f>'10.Grain Production details'!A48</f>
        <v>0</v>
      </c>
      <c r="B17" s="155">
        <f>'10.Grain Production details'!B48</f>
        <v>0</v>
      </c>
      <c r="C17" s="155">
        <f>'10.Grain Production details'!C48</f>
        <v>0</v>
      </c>
      <c r="D17" s="155">
        <f>'10.Grain Production details'!D48</f>
        <v>0</v>
      </c>
      <c r="E17" s="155">
        <f>'10.Grain Production details'!E48</f>
        <v>0</v>
      </c>
      <c r="F17" s="155">
        <f>'10.Grain Production details'!F48</f>
        <v>0</v>
      </c>
      <c r="G17" s="155">
        <f>'10.Grain Production details'!G48</f>
        <v>0</v>
      </c>
      <c r="H17" s="155">
        <f>'10.Grain Production details'!H48</f>
        <v>0</v>
      </c>
    </row>
    <row r="18" spans="1:8" hidden="1">
      <c r="A18" s="155">
        <f>'10.Grain Production details'!A49</f>
        <v>0</v>
      </c>
      <c r="B18" s="155">
        <f>'10.Grain Production details'!B49</f>
        <v>0</v>
      </c>
      <c r="C18" s="155">
        <f>'10.Grain Production details'!C49</f>
        <v>0</v>
      </c>
      <c r="D18" s="155">
        <f>'10.Grain Production details'!D49</f>
        <v>0</v>
      </c>
      <c r="E18" s="155">
        <f>'10.Grain Production details'!E49</f>
        <v>0</v>
      </c>
      <c r="F18" s="155">
        <f>'10.Grain Production details'!F49</f>
        <v>0</v>
      </c>
      <c r="G18" s="155">
        <f>'10.Grain Production details'!G49</f>
        <v>0</v>
      </c>
      <c r="H18" s="155">
        <f>'10.Grain Production details'!H49</f>
        <v>0</v>
      </c>
    </row>
    <row r="19" spans="1:8" hidden="1">
      <c r="A19" s="155">
        <f>'10.Grain Production details'!A50</f>
        <v>0</v>
      </c>
      <c r="B19" s="155">
        <f>'10.Grain Production details'!B50</f>
        <v>0</v>
      </c>
      <c r="C19" s="155">
        <f>'10.Grain Production details'!C50</f>
        <v>0</v>
      </c>
      <c r="D19" s="155">
        <f>'10.Grain Production details'!D50</f>
        <v>0</v>
      </c>
      <c r="E19" s="155">
        <f>'10.Grain Production details'!E50</f>
        <v>0</v>
      </c>
      <c r="F19" s="155">
        <f>'10.Grain Production details'!F50</f>
        <v>0</v>
      </c>
      <c r="G19" s="155">
        <f>'10.Grain Production details'!G50</f>
        <v>0</v>
      </c>
      <c r="H19" s="155">
        <f>'10.Grain Production details'!H50</f>
        <v>0</v>
      </c>
    </row>
    <row r="20" spans="1:8" hidden="1">
      <c r="A20" s="155">
        <f>'10.Grain Production details'!A51</f>
        <v>0</v>
      </c>
      <c r="B20" s="155">
        <f>'10.Grain Production details'!B51</f>
        <v>0</v>
      </c>
      <c r="C20" s="155">
        <f>'10.Grain Production details'!C51</f>
        <v>0</v>
      </c>
      <c r="D20" s="155">
        <f>'10.Grain Production details'!D51</f>
        <v>0</v>
      </c>
      <c r="E20" s="155">
        <f>'10.Grain Production details'!E51</f>
        <v>0</v>
      </c>
      <c r="F20" s="155">
        <f>'10.Grain Production details'!F51</f>
        <v>0</v>
      </c>
      <c r="G20" s="155">
        <f>'10.Grain Production details'!G51</f>
        <v>0</v>
      </c>
      <c r="H20" s="155">
        <f>'10.Grain Production details'!H51</f>
        <v>0</v>
      </c>
    </row>
    <row r="21" spans="1:8" hidden="1">
      <c r="A21" s="155">
        <f>'10.Grain Production details'!A52</f>
        <v>0</v>
      </c>
      <c r="B21" s="155">
        <f>'10.Grain Production details'!B52</f>
        <v>0</v>
      </c>
      <c r="C21" s="155">
        <f>'10.Grain Production details'!C52</f>
        <v>0</v>
      </c>
      <c r="D21" s="155">
        <f>'10.Grain Production details'!D52</f>
        <v>0</v>
      </c>
      <c r="E21" s="155">
        <f>'10.Grain Production details'!E52</f>
        <v>0</v>
      </c>
      <c r="F21" s="155">
        <f>'10.Grain Production details'!F52</f>
        <v>0</v>
      </c>
      <c r="G21" s="155">
        <f>'10.Grain Production details'!G52</f>
        <v>0</v>
      </c>
      <c r="H21" s="155">
        <f>'10.Grain Production details'!H52</f>
        <v>0</v>
      </c>
    </row>
    <row r="22" spans="1:8" hidden="1">
      <c r="A22" s="155">
        <f>'10.Grain Production details'!A53</f>
        <v>0</v>
      </c>
      <c r="B22" s="155">
        <f>'10.Grain Production details'!B53</f>
        <v>0</v>
      </c>
      <c r="C22" s="155">
        <f>'10.Grain Production details'!C53</f>
        <v>0</v>
      </c>
      <c r="D22" s="155">
        <f>'10.Grain Production details'!D53</f>
        <v>0</v>
      </c>
      <c r="E22" s="155">
        <f>'10.Grain Production details'!E53</f>
        <v>0</v>
      </c>
      <c r="F22" s="155">
        <f>'10.Grain Production details'!F53</f>
        <v>0</v>
      </c>
      <c r="G22" s="155">
        <f>'10.Grain Production details'!G53</f>
        <v>0</v>
      </c>
      <c r="H22" s="155">
        <f>'10.Grain Production details'!H53</f>
        <v>0</v>
      </c>
    </row>
    <row r="23" spans="1:8" hidden="1">
      <c r="A23" s="155">
        <f>'10.Grain Production details'!A54</f>
        <v>0</v>
      </c>
      <c r="B23" s="155">
        <f>'10.Grain Production details'!B54</f>
        <v>0</v>
      </c>
      <c r="C23" s="155">
        <f>'10.Grain Production details'!C54</f>
        <v>0</v>
      </c>
      <c r="D23" s="155">
        <f>'10.Grain Production details'!D54</f>
        <v>0</v>
      </c>
      <c r="E23" s="155">
        <f>'10.Grain Production details'!E54</f>
        <v>0</v>
      </c>
      <c r="F23" s="155">
        <f>'10.Grain Production details'!F54</f>
        <v>0</v>
      </c>
      <c r="G23" s="155">
        <f>'10.Grain Production details'!G54</f>
        <v>0</v>
      </c>
      <c r="H23" s="155">
        <f>'10.Grain Production details'!H54</f>
        <v>0</v>
      </c>
    </row>
    <row r="24" spans="1:8" hidden="1">
      <c r="A24" s="155">
        <f>'10.Grain Production details'!A55</f>
        <v>0</v>
      </c>
      <c r="B24" s="155">
        <f>'10.Grain Production details'!B55</f>
        <v>0</v>
      </c>
      <c r="C24" s="155">
        <f>'10.Grain Production details'!C55</f>
        <v>0</v>
      </c>
      <c r="D24" s="155">
        <f>'10.Grain Production details'!D55</f>
        <v>0</v>
      </c>
      <c r="E24" s="155">
        <f>'10.Grain Production details'!E55</f>
        <v>0</v>
      </c>
      <c r="F24" s="155">
        <f>'10.Grain Production details'!F55</f>
        <v>0</v>
      </c>
      <c r="G24" s="155">
        <f>'10.Grain Production details'!G55</f>
        <v>0</v>
      </c>
      <c r="H24" s="155">
        <f>'10.Grain Production details'!H55</f>
        <v>0</v>
      </c>
    </row>
    <row r="25" spans="1:8" hidden="1">
      <c r="A25" s="155">
        <f>'10.Grain Production details'!A56</f>
        <v>0</v>
      </c>
      <c r="B25" s="155">
        <f>'10.Grain Production details'!B56</f>
        <v>0</v>
      </c>
      <c r="C25" s="155">
        <f>'10.Grain Production details'!C56</f>
        <v>0</v>
      </c>
      <c r="D25" s="155">
        <f>'10.Grain Production details'!D56</f>
        <v>0</v>
      </c>
      <c r="E25" s="155">
        <f>'10.Grain Production details'!E56</f>
        <v>0</v>
      </c>
      <c r="F25" s="155">
        <f>'10.Grain Production details'!F56</f>
        <v>0</v>
      </c>
      <c r="G25" s="155">
        <f>'10.Grain Production details'!G56</f>
        <v>0</v>
      </c>
      <c r="H25" s="155">
        <f>'10.Grain Production details'!H56</f>
        <v>0</v>
      </c>
    </row>
    <row r="26" spans="1:8" hidden="1">
      <c r="A26" s="155">
        <f>'10.Grain Production details'!A57</f>
        <v>0</v>
      </c>
      <c r="B26" s="155">
        <f>'10.Grain Production details'!B57</f>
        <v>0</v>
      </c>
      <c r="C26" s="155">
        <f>'10.Grain Production details'!C57</f>
        <v>0</v>
      </c>
      <c r="D26" s="155">
        <f>'10.Grain Production details'!D57</f>
        <v>0</v>
      </c>
      <c r="E26" s="155">
        <f>'10.Grain Production details'!E57</f>
        <v>0</v>
      </c>
      <c r="F26" s="155">
        <f>'10.Grain Production details'!F57</f>
        <v>0</v>
      </c>
      <c r="G26" s="155">
        <f>'10.Grain Production details'!G57</f>
        <v>0</v>
      </c>
      <c r="H26" s="155">
        <f>'10.Grain Production details'!H57</f>
        <v>0</v>
      </c>
    </row>
    <row r="27" spans="1:8" hidden="1">
      <c r="A27" s="155">
        <f>'10.Grain Production details'!A58</f>
        <v>0</v>
      </c>
      <c r="B27" s="155">
        <f>'10.Grain Production details'!B58</f>
        <v>0</v>
      </c>
      <c r="C27" s="155">
        <f>'10.Grain Production details'!C58</f>
        <v>0</v>
      </c>
      <c r="D27" s="155">
        <f>'10.Grain Production details'!D58</f>
        <v>0</v>
      </c>
      <c r="E27" s="155">
        <f>'10.Grain Production details'!E58</f>
        <v>0</v>
      </c>
      <c r="F27" s="155">
        <f>'10.Grain Production details'!F58</f>
        <v>0</v>
      </c>
      <c r="G27" s="155">
        <f>'10.Grain Production details'!G58</f>
        <v>0</v>
      </c>
      <c r="H27" s="155">
        <f>'10.Grain Production details'!H58</f>
        <v>0</v>
      </c>
    </row>
    <row r="28" spans="1:8" hidden="1">
      <c r="A28" s="155">
        <f>'10.Grain Production details'!A59</f>
        <v>0</v>
      </c>
      <c r="B28" s="155">
        <f>'10.Grain Production details'!B59</f>
        <v>0</v>
      </c>
      <c r="C28" s="155">
        <f>'10.Grain Production details'!C59</f>
        <v>0</v>
      </c>
      <c r="D28" s="155">
        <f>'10.Grain Production details'!D59</f>
        <v>0</v>
      </c>
      <c r="E28" s="155">
        <f>'10.Grain Production details'!E59</f>
        <v>0</v>
      </c>
      <c r="F28" s="155">
        <f>'10.Grain Production details'!F59</f>
        <v>0</v>
      </c>
      <c r="G28" s="155">
        <f>'10.Grain Production details'!G59</f>
        <v>0</v>
      </c>
      <c r="H28" s="155">
        <f>'10.Grain Production details'!H59</f>
        <v>0</v>
      </c>
    </row>
    <row r="29" spans="1:8" hidden="1">
      <c r="A29" s="155">
        <f>'10.Grain Production details'!A60</f>
        <v>0</v>
      </c>
      <c r="B29" s="155">
        <f>'10.Grain Production details'!B60</f>
        <v>0</v>
      </c>
      <c r="C29" s="155">
        <f>'10.Grain Production details'!C60</f>
        <v>0</v>
      </c>
      <c r="D29" s="155">
        <f>'10.Grain Production details'!D60</f>
        <v>0</v>
      </c>
      <c r="E29" s="155">
        <f>'10.Grain Production details'!E60</f>
        <v>0</v>
      </c>
      <c r="F29" s="155">
        <f>'10.Grain Production details'!F60</f>
        <v>0</v>
      </c>
      <c r="G29" s="155">
        <f>'10.Grain Production details'!G60</f>
        <v>0</v>
      </c>
      <c r="H29" s="155">
        <f>'10.Grain Production details'!H60</f>
        <v>0</v>
      </c>
    </row>
    <row r="30" spans="1:8" hidden="1">
      <c r="A30" s="155">
        <f>'10.Grain Production details'!A61</f>
        <v>0</v>
      </c>
      <c r="B30" s="155">
        <f>'10.Grain Production details'!B61</f>
        <v>0</v>
      </c>
      <c r="C30" s="155">
        <f>'10.Grain Production details'!C61</f>
        <v>0</v>
      </c>
      <c r="D30" s="155">
        <f>'10.Grain Production details'!D61</f>
        <v>0</v>
      </c>
      <c r="E30" s="155">
        <f>'10.Grain Production details'!E61</f>
        <v>0</v>
      </c>
      <c r="F30" s="155">
        <f>'10.Grain Production details'!F61</f>
        <v>0</v>
      </c>
      <c r="G30" s="155">
        <f>'10.Grain Production details'!G61</f>
        <v>0</v>
      </c>
      <c r="H30" s="155">
        <f>'10.Grain Production details'!H61</f>
        <v>0</v>
      </c>
    </row>
    <row r="31" spans="1:8" hidden="1">
      <c r="A31" s="155">
        <f>'10.Grain Production details'!A62</f>
        <v>0</v>
      </c>
      <c r="B31" s="155">
        <f>'10.Grain Production details'!B62</f>
        <v>0</v>
      </c>
      <c r="C31" s="155">
        <f>'10.Grain Production details'!C62</f>
        <v>0</v>
      </c>
      <c r="D31" s="155">
        <f>'10.Grain Production details'!D62</f>
        <v>0</v>
      </c>
      <c r="E31" s="155">
        <f>'10.Grain Production details'!E62</f>
        <v>0</v>
      </c>
      <c r="F31" s="155">
        <f>'10.Grain Production details'!F62</f>
        <v>0</v>
      </c>
      <c r="G31" s="155">
        <f>'10.Grain Production details'!G62</f>
        <v>0</v>
      </c>
      <c r="H31" s="155">
        <f>'10.Grain Production details'!H62</f>
        <v>0</v>
      </c>
    </row>
    <row r="32" spans="1:8" hidden="1">
      <c r="A32" s="155">
        <f>'10.Grain Production details'!B63</f>
        <v>0</v>
      </c>
      <c r="B32" s="155">
        <f>'10.Grain Production details'!C63</f>
        <v>0</v>
      </c>
      <c r="C32" s="155">
        <f>'10.Grain Production details'!D63</f>
        <v>0</v>
      </c>
      <c r="D32" s="155">
        <f>'10.Grain Production details'!E63</f>
        <v>0</v>
      </c>
      <c r="E32" s="155">
        <f>'10.Grain Production details'!F63</f>
        <v>0</v>
      </c>
      <c r="F32" s="155">
        <f>'10.Grain Production details'!G63</f>
        <v>0</v>
      </c>
      <c r="G32" s="155">
        <f>'10.Grain Production details'!H63</f>
        <v>0</v>
      </c>
      <c r="H32" s="155">
        <f>'10.Grain Production details'!I63</f>
        <v>0</v>
      </c>
    </row>
    <row r="33" spans="1:8">
      <c r="A33" s="70" t="s">
        <v>496</v>
      </c>
      <c r="B33" s="155"/>
      <c r="C33" s="155"/>
      <c r="D33" s="155"/>
      <c r="E33" s="155"/>
      <c r="F33" s="155"/>
      <c r="G33" s="155"/>
      <c r="H33" s="155"/>
    </row>
    <row r="34" spans="1:8" ht="29.25">
      <c r="A34" s="350" t="str">
        <f>'11.F&amp;V Crop Production details'!A1:H1</f>
        <v>Fruit  &amp; Vegetables Crop Production Details</v>
      </c>
      <c r="B34" s="155"/>
      <c r="C34" s="155"/>
      <c r="D34" s="155"/>
      <c r="E34" s="155"/>
      <c r="F34" s="155"/>
      <c r="G34" s="155"/>
      <c r="H34" s="155"/>
    </row>
    <row r="35" spans="1:8">
      <c r="A35" s="155" t="s">
        <v>655</v>
      </c>
      <c r="B35" s="155">
        <f>B11</f>
        <v>6652.8</v>
      </c>
      <c r="C35" s="155">
        <f t="shared" ref="C35:H35" si="1">C11</f>
        <v>7318.0800000000008</v>
      </c>
      <c r="D35" s="155">
        <f t="shared" si="1"/>
        <v>7983.3600000000015</v>
      </c>
      <c r="E35" s="155">
        <f t="shared" si="1"/>
        <v>8648.6400000000012</v>
      </c>
      <c r="F35" s="155">
        <f t="shared" si="1"/>
        <v>9313.9200000000019</v>
      </c>
      <c r="G35" s="155">
        <f t="shared" si="1"/>
        <v>9979.2000000000025</v>
      </c>
      <c r="H35" s="155">
        <f t="shared" si="1"/>
        <v>10644.480000000003</v>
      </c>
    </row>
    <row r="36" spans="1:8">
      <c r="A36" s="70" t="s">
        <v>495</v>
      </c>
      <c r="B36" s="155">
        <f t="shared" ref="B36:H36" si="2">SUM(B35:B35)</f>
        <v>6652.8</v>
      </c>
      <c r="C36" s="155">
        <f t="shared" si="2"/>
        <v>7318.0800000000008</v>
      </c>
      <c r="D36" s="155">
        <f t="shared" si="2"/>
        <v>7983.3600000000015</v>
      </c>
      <c r="E36" s="155">
        <f t="shared" si="2"/>
        <v>8648.6400000000012</v>
      </c>
      <c r="F36" s="155">
        <f t="shared" si="2"/>
        <v>9313.9200000000019</v>
      </c>
      <c r="G36" s="155">
        <f t="shared" si="2"/>
        <v>9979.2000000000025</v>
      </c>
      <c r="H36" s="155">
        <f t="shared" si="2"/>
        <v>10644.480000000003</v>
      </c>
    </row>
    <row r="37" spans="1:8">
      <c r="A37" s="291" t="s">
        <v>731</v>
      </c>
      <c r="B37" s="345">
        <v>0.5</v>
      </c>
      <c r="C37" s="345">
        <f>B37</f>
        <v>0.5</v>
      </c>
      <c r="D37" s="345">
        <f t="shared" ref="D37:H37" si="3">C37</f>
        <v>0.5</v>
      </c>
      <c r="E37" s="345">
        <f t="shared" si="3"/>
        <v>0.5</v>
      </c>
      <c r="F37" s="345">
        <f t="shared" si="3"/>
        <v>0.5</v>
      </c>
      <c r="G37" s="345">
        <f t="shared" si="3"/>
        <v>0.5</v>
      </c>
      <c r="H37" s="345">
        <f t="shared" si="3"/>
        <v>0.5</v>
      </c>
    </row>
    <row r="38" spans="1:8">
      <c r="A38" s="291" t="s">
        <v>732</v>
      </c>
      <c r="B38" s="345">
        <f t="shared" ref="B38:H38" si="4">1-B37</f>
        <v>0.5</v>
      </c>
      <c r="C38" s="345">
        <f t="shared" si="4"/>
        <v>0.5</v>
      </c>
      <c r="D38" s="345">
        <f t="shared" si="4"/>
        <v>0.5</v>
      </c>
      <c r="E38" s="345">
        <f t="shared" si="4"/>
        <v>0.5</v>
      </c>
      <c r="F38" s="345">
        <f t="shared" si="4"/>
        <v>0.5</v>
      </c>
      <c r="G38" s="345">
        <f t="shared" si="4"/>
        <v>0.5</v>
      </c>
      <c r="H38" s="345">
        <f t="shared" si="4"/>
        <v>0.5</v>
      </c>
    </row>
    <row r="39" spans="1:8">
      <c r="A39" s="291"/>
      <c r="B39" s="345"/>
      <c r="C39" s="345"/>
      <c r="D39" s="345"/>
      <c r="E39" s="345"/>
      <c r="F39" s="345"/>
      <c r="G39" s="345"/>
      <c r="H39" s="345"/>
    </row>
    <row r="40" spans="1:8">
      <c r="A40" s="291" t="s">
        <v>731</v>
      </c>
      <c r="B40" s="346">
        <f>B35*B37</f>
        <v>3326.4</v>
      </c>
      <c r="C40" s="346">
        <f t="shared" ref="C40:H40" si="5">C35*C37</f>
        <v>3659.0400000000004</v>
      </c>
      <c r="D40" s="346">
        <f t="shared" si="5"/>
        <v>3991.6800000000007</v>
      </c>
      <c r="E40" s="346">
        <f t="shared" si="5"/>
        <v>4324.3200000000006</v>
      </c>
      <c r="F40" s="346">
        <f t="shared" si="5"/>
        <v>4656.9600000000009</v>
      </c>
      <c r="G40" s="346">
        <f t="shared" si="5"/>
        <v>4989.6000000000013</v>
      </c>
      <c r="H40" s="346">
        <f t="shared" si="5"/>
        <v>5322.2400000000016</v>
      </c>
    </row>
    <row r="41" spans="1:8">
      <c r="A41" s="70"/>
      <c r="B41" s="155"/>
      <c r="C41" s="155"/>
      <c r="D41" s="155"/>
      <c r="E41" s="155"/>
      <c r="F41" s="155"/>
      <c r="G41" s="155"/>
      <c r="H41" s="155"/>
    </row>
    <row r="42" spans="1:8">
      <c r="A42" s="70" t="s">
        <v>733</v>
      </c>
      <c r="B42" s="155"/>
      <c r="C42" s="155"/>
      <c r="D42" s="155"/>
      <c r="E42" s="155"/>
      <c r="F42" s="155"/>
      <c r="G42" s="155"/>
      <c r="H42" s="155"/>
    </row>
    <row r="43" spans="1:8" hidden="1">
      <c r="A43" s="68" t="str">
        <f t="shared" ref="A43:A64" si="6">A11</f>
        <v>cashew nuts</v>
      </c>
      <c r="B43" s="209">
        <f>B36*B38</f>
        <v>3326.4</v>
      </c>
      <c r="C43" s="209">
        <f t="shared" ref="C43:H43" si="7">C36*C38</f>
        <v>3659.0400000000004</v>
      </c>
      <c r="D43" s="209">
        <f t="shared" si="7"/>
        <v>3991.6800000000007</v>
      </c>
      <c r="E43" s="209">
        <f t="shared" si="7"/>
        <v>4324.3200000000006</v>
      </c>
      <c r="F43" s="209">
        <f t="shared" si="7"/>
        <v>4656.9600000000009</v>
      </c>
      <c r="G43" s="209">
        <f t="shared" si="7"/>
        <v>4989.6000000000013</v>
      </c>
      <c r="H43" s="209">
        <f t="shared" si="7"/>
        <v>5322.2400000000016</v>
      </c>
    </row>
    <row r="44" spans="1:8" hidden="1">
      <c r="A44" s="68">
        <f t="shared" si="6"/>
        <v>0</v>
      </c>
      <c r="B44" s="209">
        <f t="shared" ref="B44:B64" si="8">B12*$B$38</f>
        <v>0</v>
      </c>
      <c r="C44" s="209">
        <f t="shared" ref="C44:C58" si="9">C12*$C$38</f>
        <v>0</v>
      </c>
      <c r="D44" s="209">
        <f t="shared" ref="D44:D58" si="10">D12*$D$38</f>
        <v>0</v>
      </c>
      <c r="E44" s="209">
        <f t="shared" ref="E44:E58" si="11">E12*$E$38</f>
        <v>0</v>
      </c>
      <c r="F44" s="209">
        <f t="shared" ref="F44:F58" si="12">F12*$F$38</f>
        <v>0</v>
      </c>
      <c r="G44" s="209">
        <f t="shared" ref="G44:G58" si="13">G12*$G$38</f>
        <v>0</v>
      </c>
      <c r="H44" s="209">
        <f t="shared" ref="H44:H58" si="14">H12*$H$38</f>
        <v>0</v>
      </c>
    </row>
    <row r="45" spans="1:8" hidden="1">
      <c r="A45" s="68">
        <f t="shared" si="6"/>
        <v>0</v>
      </c>
      <c r="B45" s="209">
        <f t="shared" si="8"/>
        <v>0</v>
      </c>
      <c r="C45" s="209">
        <f t="shared" si="9"/>
        <v>0</v>
      </c>
      <c r="D45" s="209">
        <f t="shared" si="10"/>
        <v>0</v>
      </c>
      <c r="E45" s="209">
        <f t="shared" si="11"/>
        <v>0</v>
      </c>
      <c r="F45" s="209">
        <f t="shared" si="12"/>
        <v>0</v>
      </c>
      <c r="G45" s="209">
        <f t="shared" si="13"/>
        <v>0</v>
      </c>
      <c r="H45" s="209">
        <f t="shared" si="14"/>
        <v>0</v>
      </c>
    </row>
    <row r="46" spans="1:8" hidden="1">
      <c r="A46" s="68">
        <f t="shared" si="6"/>
        <v>0</v>
      </c>
      <c r="B46" s="209">
        <f t="shared" si="8"/>
        <v>0</v>
      </c>
      <c r="C46" s="209">
        <f t="shared" si="9"/>
        <v>0</v>
      </c>
      <c r="D46" s="209">
        <f t="shared" si="10"/>
        <v>0</v>
      </c>
      <c r="E46" s="209">
        <f t="shared" si="11"/>
        <v>0</v>
      </c>
      <c r="F46" s="209">
        <f t="shared" si="12"/>
        <v>0</v>
      </c>
      <c r="G46" s="209">
        <f t="shared" si="13"/>
        <v>0</v>
      </c>
      <c r="H46" s="209">
        <f t="shared" si="14"/>
        <v>0</v>
      </c>
    </row>
    <row r="47" spans="1:8" hidden="1">
      <c r="A47" s="68">
        <f t="shared" si="6"/>
        <v>0</v>
      </c>
      <c r="B47" s="209">
        <f t="shared" si="8"/>
        <v>0</v>
      </c>
      <c r="C47" s="209">
        <f t="shared" si="9"/>
        <v>0</v>
      </c>
      <c r="D47" s="209">
        <f t="shared" si="10"/>
        <v>0</v>
      </c>
      <c r="E47" s="209">
        <f t="shared" si="11"/>
        <v>0</v>
      </c>
      <c r="F47" s="209">
        <f t="shared" si="12"/>
        <v>0</v>
      </c>
      <c r="G47" s="209">
        <f t="shared" si="13"/>
        <v>0</v>
      </c>
      <c r="H47" s="209">
        <f t="shared" si="14"/>
        <v>0</v>
      </c>
    </row>
    <row r="48" spans="1:8" hidden="1">
      <c r="A48" s="68">
        <f t="shared" si="6"/>
        <v>0</v>
      </c>
      <c r="B48" s="209">
        <f t="shared" si="8"/>
        <v>0</v>
      </c>
      <c r="C48" s="209">
        <f t="shared" si="9"/>
        <v>0</v>
      </c>
      <c r="D48" s="209">
        <f t="shared" si="10"/>
        <v>0</v>
      </c>
      <c r="E48" s="209">
        <f t="shared" si="11"/>
        <v>0</v>
      </c>
      <c r="F48" s="209">
        <f t="shared" si="12"/>
        <v>0</v>
      </c>
      <c r="G48" s="209">
        <f t="shared" si="13"/>
        <v>0</v>
      </c>
      <c r="H48" s="209">
        <f t="shared" si="14"/>
        <v>0</v>
      </c>
    </row>
    <row r="49" spans="1:8" hidden="1">
      <c r="A49" s="68">
        <f t="shared" si="6"/>
        <v>0</v>
      </c>
      <c r="B49" s="209">
        <f t="shared" si="8"/>
        <v>0</v>
      </c>
      <c r="C49" s="209">
        <f t="shared" si="9"/>
        <v>0</v>
      </c>
      <c r="D49" s="209">
        <f t="shared" si="10"/>
        <v>0</v>
      </c>
      <c r="E49" s="209">
        <f t="shared" si="11"/>
        <v>0</v>
      </c>
      <c r="F49" s="209">
        <f t="shared" si="12"/>
        <v>0</v>
      </c>
      <c r="G49" s="209">
        <f t="shared" si="13"/>
        <v>0</v>
      </c>
      <c r="H49" s="209">
        <f t="shared" si="14"/>
        <v>0</v>
      </c>
    </row>
    <row r="50" spans="1:8" hidden="1">
      <c r="A50" s="68">
        <f t="shared" si="6"/>
        <v>0</v>
      </c>
      <c r="B50" s="209">
        <f t="shared" si="8"/>
        <v>0</v>
      </c>
      <c r="C50" s="209">
        <f t="shared" si="9"/>
        <v>0</v>
      </c>
      <c r="D50" s="209">
        <f t="shared" si="10"/>
        <v>0</v>
      </c>
      <c r="E50" s="209">
        <f t="shared" si="11"/>
        <v>0</v>
      </c>
      <c r="F50" s="209">
        <f t="shared" si="12"/>
        <v>0</v>
      </c>
      <c r="G50" s="209">
        <f t="shared" si="13"/>
        <v>0</v>
      </c>
      <c r="H50" s="209">
        <f t="shared" si="14"/>
        <v>0</v>
      </c>
    </row>
    <row r="51" spans="1:8" hidden="1">
      <c r="A51" s="68">
        <f t="shared" si="6"/>
        <v>0</v>
      </c>
      <c r="B51" s="209">
        <f t="shared" si="8"/>
        <v>0</v>
      </c>
      <c r="C51" s="209">
        <f t="shared" si="9"/>
        <v>0</v>
      </c>
      <c r="D51" s="209">
        <f t="shared" si="10"/>
        <v>0</v>
      </c>
      <c r="E51" s="209">
        <f t="shared" si="11"/>
        <v>0</v>
      </c>
      <c r="F51" s="209">
        <f t="shared" si="12"/>
        <v>0</v>
      </c>
      <c r="G51" s="209">
        <f t="shared" si="13"/>
        <v>0</v>
      </c>
      <c r="H51" s="209">
        <f t="shared" si="14"/>
        <v>0</v>
      </c>
    </row>
    <row r="52" spans="1:8" hidden="1">
      <c r="A52" s="68">
        <f t="shared" si="6"/>
        <v>0</v>
      </c>
      <c r="B52" s="209">
        <f t="shared" si="8"/>
        <v>0</v>
      </c>
      <c r="C52" s="209">
        <f t="shared" si="9"/>
        <v>0</v>
      </c>
      <c r="D52" s="209">
        <f t="shared" si="10"/>
        <v>0</v>
      </c>
      <c r="E52" s="209">
        <f t="shared" si="11"/>
        <v>0</v>
      </c>
      <c r="F52" s="209">
        <f t="shared" si="12"/>
        <v>0</v>
      </c>
      <c r="G52" s="209">
        <f t="shared" si="13"/>
        <v>0</v>
      </c>
      <c r="H52" s="209">
        <f t="shared" si="14"/>
        <v>0</v>
      </c>
    </row>
    <row r="53" spans="1:8" hidden="1">
      <c r="A53" s="68">
        <f t="shared" si="6"/>
        <v>0</v>
      </c>
      <c r="B53" s="209">
        <f t="shared" si="8"/>
        <v>0</v>
      </c>
      <c r="C53" s="209">
        <f t="shared" si="9"/>
        <v>0</v>
      </c>
      <c r="D53" s="209">
        <f t="shared" si="10"/>
        <v>0</v>
      </c>
      <c r="E53" s="209">
        <f t="shared" si="11"/>
        <v>0</v>
      </c>
      <c r="F53" s="209">
        <f t="shared" si="12"/>
        <v>0</v>
      </c>
      <c r="G53" s="209">
        <f t="shared" si="13"/>
        <v>0</v>
      </c>
      <c r="H53" s="209">
        <f t="shared" si="14"/>
        <v>0</v>
      </c>
    </row>
    <row r="54" spans="1:8" hidden="1">
      <c r="A54" s="68">
        <f t="shared" si="6"/>
        <v>0</v>
      </c>
      <c r="B54" s="209">
        <f t="shared" si="8"/>
        <v>0</v>
      </c>
      <c r="C54" s="209">
        <f t="shared" si="9"/>
        <v>0</v>
      </c>
      <c r="D54" s="209">
        <f t="shared" si="10"/>
        <v>0</v>
      </c>
      <c r="E54" s="209">
        <f t="shared" si="11"/>
        <v>0</v>
      </c>
      <c r="F54" s="209">
        <f t="shared" si="12"/>
        <v>0</v>
      </c>
      <c r="G54" s="209">
        <f t="shared" si="13"/>
        <v>0</v>
      </c>
      <c r="H54" s="209">
        <f t="shared" si="14"/>
        <v>0</v>
      </c>
    </row>
    <row r="55" spans="1:8" hidden="1">
      <c r="A55" s="68">
        <f t="shared" si="6"/>
        <v>0</v>
      </c>
      <c r="B55" s="209">
        <f t="shared" si="8"/>
        <v>0</v>
      </c>
      <c r="C55" s="209">
        <f t="shared" si="9"/>
        <v>0</v>
      </c>
      <c r="D55" s="209">
        <f t="shared" si="10"/>
        <v>0</v>
      </c>
      <c r="E55" s="209">
        <f t="shared" si="11"/>
        <v>0</v>
      </c>
      <c r="F55" s="209">
        <f t="shared" si="12"/>
        <v>0</v>
      </c>
      <c r="G55" s="209">
        <f t="shared" si="13"/>
        <v>0</v>
      </c>
      <c r="H55" s="209">
        <f t="shared" si="14"/>
        <v>0</v>
      </c>
    </row>
    <row r="56" spans="1:8" hidden="1">
      <c r="A56" s="68">
        <f t="shared" si="6"/>
        <v>0</v>
      </c>
      <c r="B56" s="209">
        <f t="shared" si="8"/>
        <v>0</v>
      </c>
      <c r="C56" s="209">
        <f t="shared" si="9"/>
        <v>0</v>
      </c>
      <c r="D56" s="209">
        <f t="shared" si="10"/>
        <v>0</v>
      </c>
      <c r="E56" s="209">
        <f t="shared" si="11"/>
        <v>0</v>
      </c>
      <c r="F56" s="209">
        <f t="shared" si="12"/>
        <v>0</v>
      </c>
      <c r="G56" s="209">
        <f t="shared" si="13"/>
        <v>0</v>
      </c>
      <c r="H56" s="209">
        <f t="shared" si="14"/>
        <v>0</v>
      </c>
    </row>
    <row r="57" spans="1:8" hidden="1">
      <c r="A57" s="68">
        <f t="shared" si="6"/>
        <v>0</v>
      </c>
      <c r="B57" s="209">
        <f t="shared" si="8"/>
        <v>0</v>
      </c>
      <c r="C57" s="209">
        <f t="shared" si="9"/>
        <v>0</v>
      </c>
      <c r="D57" s="209">
        <f t="shared" si="10"/>
        <v>0</v>
      </c>
      <c r="E57" s="209">
        <f t="shared" si="11"/>
        <v>0</v>
      </c>
      <c r="F57" s="209">
        <f t="shared" si="12"/>
        <v>0</v>
      </c>
      <c r="G57" s="209">
        <f t="shared" si="13"/>
        <v>0</v>
      </c>
      <c r="H57" s="209">
        <f t="shared" si="14"/>
        <v>0</v>
      </c>
    </row>
    <row r="58" spans="1:8" hidden="1">
      <c r="A58" s="68">
        <f t="shared" si="6"/>
        <v>0</v>
      </c>
      <c r="B58" s="209">
        <f t="shared" si="8"/>
        <v>0</v>
      </c>
      <c r="C58" s="209">
        <f t="shared" si="9"/>
        <v>0</v>
      </c>
      <c r="D58" s="209">
        <f t="shared" si="10"/>
        <v>0</v>
      </c>
      <c r="E58" s="209">
        <f t="shared" si="11"/>
        <v>0</v>
      </c>
      <c r="F58" s="209">
        <f t="shared" si="12"/>
        <v>0</v>
      </c>
      <c r="G58" s="209">
        <f t="shared" si="13"/>
        <v>0</v>
      </c>
      <c r="H58" s="209">
        <f t="shared" si="14"/>
        <v>0</v>
      </c>
    </row>
    <row r="59" spans="1:8" hidden="1">
      <c r="A59" s="68">
        <f t="shared" si="6"/>
        <v>0</v>
      </c>
      <c r="B59" s="209">
        <f t="shared" si="8"/>
        <v>0</v>
      </c>
      <c r="C59" s="209">
        <f t="shared" ref="C59:H64" si="15">C27*$B$38</f>
        <v>0</v>
      </c>
      <c r="D59" s="209">
        <f t="shared" si="15"/>
        <v>0</v>
      </c>
      <c r="E59" s="209">
        <f t="shared" si="15"/>
        <v>0</v>
      </c>
      <c r="F59" s="209">
        <f t="shared" si="15"/>
        <v>0</v>
      </c>
      <c r="G59" s="209">
        <f t="shared" si="15"/>
        <v>0</v>
      </c>
      <c r="H59" s="209">
        <f t="shared" si="15"/>
        <v>0</v>
      </c>
    </row>
    <row r="60" spans="1:8" hidden="1">
      <c r="A60" s="68">
        <f t="shared" si="6"/>
        <v>0</v>
      </c>
      <c r="B60" s="209">
        <f t="shared" si="8"/>
        <v>0</v>
      </c>
      <c r="C60" s="209">
        <f t="shared" si="15"/>
        <v>0</v>
      </c>
      <c r="D60" s="209">
        <f t="shared" si="15"/>
        <v>0</v>
      </c>
      <c r="E60" s="209">
        <f t="shared" si="15"/>
        <v>0</v>
      </c>
      <c r="F60" s="209">
        <f t="shared" si="15"/>
        <v>0</v>
      </c>
      <c r="G60" s="209">
        <f t="shared" si="15"/>
        <v>0</v>
      </c>
      <c r="H60" s="209">
        <f t="shared" si="15"/>
        <v>0</v>
      </c>
    </row>
    <row r="61" spans="1:8" hidden="1">
      <c r="A61" s="68">
        <f t="shared" si="6"/>
        <v>0</v>
      </c>
      <c r="B61" s="209">
        <f t="shared" si="8"/>
        <v>0</v>
      </c>
      <c r="C61" s="209">
        <f t="shared" si="15"/>
        <v>0</v>
      </c>
      <c r="D61" s="209">
        <f t="shared" si="15"/>
        <v>0</v>
      </c>
      <c r="E61" s="209">
        <f t="shared" si="15"/>
        <v>0</v>
      </c>
      <c r="F61" s="209">
        <f t="shared" si="15"/>
        <v>0</v>
      </c>
      <c r="G61" s="209">
        <f t="shared" si="15"/>
        <v>0</v>
      </c>
      <c r="H61" s="209">
        <f t="shared" si="15"/>
        <v>0</v>
      </c>
    </row>
    <row r="62" spans="1:8" hidden="1">
      <c r="A62" s="68">
        <f t="shared" si="6"/>
        <v>0</v>
      </c>
      <c r="B62" s="209">
        <f t="shared" si="8"/>
        <v>0</v>
      </c>
      <c r="C62" s="209">
        <f t="shared" si="15"/>
        <v>0</v>
      </c>
      <c r="D62" s="209">
        <f t="shared" si="15"/>
        <v>0</v>
      </c>
      <c r="E62" s="209">
        <f t="shared" si="15"/>
        <v>0</v>
      </c>
      <c r="F62" s="209">
        <f t="shared" si="15"/>
        <v>0</v>
      </c>
      <c r="G62" s="209">
        <f t="shared" si="15"/>
        <v>0</v>
      </c>
      <c r="H62" s="209">
        <f t="shared" si="15"/>
        <v>0</v>
      </c>
    </row>
    <row r="63" spans="1:8" hidden="1">
      <c r="A63" s="68">
        <f t="shared" si="6"/>
        <v>0</v>
      </c>
      <c r="B63" s="209">
        <f t="shared" si="8"/>
        <v>0</v>
      </c>
      <c r="C63" s="209">
        <f t="shared" si="15"/>
        <v>0</v>
      </c>
      <c r="D63" s="209">
        <f t="shared" si="15"/>
        <v>0</v>
      </c>
      <c r="E63" s="209">
        <f t="shared" si="15"/>
        <v>0</v>
      </c>
      <c r="F63" s="209">
        <f t="shared" si="15"/>
        <v>0</v>
      </c>
      <c r="G63" s="209">
        <f t="shared" si="15"/>
        <v>0</v>
      </c>
      <c r="H63" s="209">
        <f t="shared" si="15"/>
        <v>0</v>
      </c>
    </row>
    <row r="64" spans="1:8" hidden="1">
      <c r="A64" s="68">
        <f t="shared" si="6"/>
        <v>0</v>
      </c>
      <c r="B64" s="209">
        <f t="shared" si="8"/>
        <v>0</v>
      </c>
      <c r="C64" s="209">
        <f t="shared" si="15"/>
        <v>0</v>
      </c>
      <c r="D64" s="209">
        <f t="shared" si="15"/>
        <v>0</v>
      </c>
      <c r="E64" s="209">
        <f t="shared" si="15"/>
        <v>0</v>
      </c>
      <c r="F64" s="209">
        <f t="shared" si="15"/>
        <v>0</v>
      </c>
      <c r="G64" s="209">
        <f t="shared" si="15"/>
        <v>0</v>
      </c>
      <c r="H64" s="209">
        <f t="shared" si="15"/>
        <v>0</v>
      </c>
    </row>
    <row r="65" spans="1:20">
      <c r="A65" s="68"/>
      <c r="B65" s="209"/>
      <c r="C65" s="209"/>
      <c r="D65" s="209"/>
      <c r="E65" s="209"/>
      <c r="F65" s="209"/>
      <c r="G65" s="209"/>
      <c r="H65" s="209"/>
      <c r="J65" s="13"/>
      <c r="K65" s="13"/>
      <c r="L65" s="13"/>
    </row>
    <row r="66" spans="1:20" ht="30">
      <c r="A66" s="79" t="str">
        <f>A34</f>
        <v>Fruit  &amp; Vegetables Crop Production Details</v>
      </c>
      <c r="B66" s="209"/>
      <c r="C66" s="209"/>
      <c r="D66" s="209"/>
      <c r="E66" s="209"/>
      <c r="F66" s="209"/>
      <c r="G66" s="209"/>
      <c r="H66" s="209"/>
      <c r="J66" s="13"/>
      <c r="K66" s="13"/>
      <c r="L66" s="13"/>
    </row>
    <row r="67" spans="1:20">
      <c r="A67" s="68" t="str">
        <f>A35</f>
        <v>cashew nuts</v>
      </c>
      <c r="B67" s="209">
        <f>B43</f>
        <v>3326.4</v>
      </c>
      <c r="C67" s="209">
        <f t="shared" ref="C67:H67" si="16">C43</f>
        <v>3659.0400000000004</v>
      </c>
      <c r="D67" s="209">
        <f t="shared" si="16"/>
        <v>3991.6800000000007</v>
      </c>
      <c r="E67" s="209">
        <f t="shared" si="16"/>
        <v>4324.3200000000006</v>
      </c>
      <c r="F67" s="209">
        <f t="shared" si="16"/>
        <v>4656.9600000000009</v>
      </c>
      <c r="G67" s="209">
        <f t="shared" si="16"/>
        <v>4989.6000000000013</v>
      </c>
      <c r="H67" s="209">
        <f t="shared" si="16"/>
        <v>5322.2400000000016</v>
      </c>
      <c r="J67" s="13"/>
      <c r="K67" s="13"/>
      <c r="L67" s="13"/>
    </row>
    <row r="68" spans="1:20">
      <c r="A68" s="68"/>
      <c r="B68" s="209"/>
      <c r="C68" s="209"/>
      <c r="D68" s="209"/>
      <c r="E68" s="209"/>
      <c r="F68" s="209"/>
      <c r="G68" s="209"/>
      <c r="H68" s="209"/>
      <c r="J68" s="13"/>
      <c r="K68" s="13"/>
      <c r="L68" s="13"/>
    </row>
    <row r="69" spans="1:20">
      <c r="A69" s="70" t="s">
        <v>140</v>
      </c>
      <c r="B69" s="68"/>
      <c r="C69" s="68"/>
      <c r="D69" s="68"/>
      <c r="E69" s="68"/>
      <c r="F69" s="68"/>
      <c r="G69" s="68"/>
      <c r="H69" s="68"/>
    </row>
    <row r="70" spans="1:20">
      <c r="A70" s="68" t="str">
        <f>A43</f>
        <v>cashew nuts</v>
      </c>
      <c r="B70" s="148">
        <f>B67*99%</f>
        <v>3293.136</v>
      </c>
      <c r="C70" s="148">
        <f t="shared" ref="C70:H70" si="17">C67*99%</f>
        <v>3622.4496000000004</v>
      </c>
      <c r="D70" s="148">
        <f t="shared" si="17"/>
        <v>3951.7632000000008</v>
      </c>
      <c r="E70" s="148">
        <f t="shared" si="17"/>
        <v>4281.0768000000007</v>
      </c>
      <c r="F70" s="148">
        <f t="shared" si="17"/>
        <v>4610.3904000000011</v>
      </c>
      <c r="G70" s="148">
        <f t="shared" si="17"/>
        <v>4939.7040000000015</v>
      </c>
      <c r="H70" s="148">
        <f t="shared" si="17"/>
        <v>5269.0176000000019</v>
      </c>
    </row>
    <row r="71" spans="1:20">
      <c r="A71" s="67"/>
    </row>
    <row r="72" spans="1:20" ht="18.75">
      <c r="A72" s="381" t="s">
        <v>555</v>
      </c>
      <c r="B72" s="381"/>
      <c r="C72" s="381"/>
      <c r="D72" s="381"/>
      <c r="E72" s="381"/>
      <c r="F72" s="381"/>
      <c r="G72" s="381"/>
      <c r="H72" s="381"/>
      <c r="I72" s="381"/>
      <c r="J72" s="381"/>
    </row>
    <row r="73" spans="1:20">
      <c r="A73" s="12"/>
      <c r="B73" s="12"/>
      <c r="C73" s="12"/>
      <c r="D73" s="12"/>
      <c r="E73" s="12"/>
      <c r="F73" s="12"/>
      <c r="G73" s="12"/>
      <c r="H73" s="12"/>
    </row>
    <row r="74" spans="1:20">
      <c r="A74" s="149"/>
      <c r="B74" s="149"/>
      <c r="C74" s="149"/>
      <c r="D74" s="150">
        <v>1</v>
      </c>
      <c r="E74" s="151">
        <f>(D74*5%)+D74</f>
        <v>1.05</v>
      </c>
      <c r="F74" s="151">
        <f t="shared" ref="F74:J74" si="18">(E74*5%)+E74</f>
        <v>1.1025</v>
      </c>
      <c r="G74" s="151">
        <f t="shared" si="18"/>
        <v>1.1576250000000001</v>
      </c>
      <c r="H74" s="151">
        <f t="shared" si="18"/>
        <v>1.2155062500000002</v>
      </c>
      <c r="I74" s="151">
        <f t="shared" si="18"/>
        <v>1.2762815625000004</v>
      </c>
      <c r="J74" s="151">
        <f t="shared" si="18"/>
        <v>1.3400956406250004</v>
      </c>
      <c r="K74" s="67"/>
      <c r="L74" s="67"/>
      <c r="M74" s="67"/>
      <c r="N74" s="67"/>
      <c r="O74" s="67"/>
      <c r="P74" s="67"/>
      <c r="Q74" s="67"/>
      <c r="R74" s="67"/>
      <c r="S74" s="67"/>
      <c r="T74" s="67"/>
    </row>
    <row r="75" spans="1:20">
      <c r="A75" s="67"/>
      <c r="B75" s="67"/>
      <c r="C75" s="67"/>
      <c r="D75" s="67"/>
      <c r="E75" s="67"/>
      <c r="F75" s="67"/>
      <c r="G75" s="67"/>
      <c r="H75" s="67"/>
      <c r="I75" s="67"/>
      <c r="J75" s="67"/>
      <c r="K75" s="67"/>
      <c r="L75" s="67"/>
      <c r="M75" s="67"/>
      <c r="N75" s="67"/>
      <c r="O75" s="67"/>
      <c r="P75" s="67"/>
      <c r="Q75" s="67"/>
      <c r="R75" s="67"/>
      <c r="S75" s="67"/>
      <c r="T75" s="67"/>
    </row>
    <row r="76" spans="1:20">
      <c r="A76" s="67"/>
      <c r="B76" s="67"/>
      <c r="C76" s="67"/>
      <c r="D76" s="141"/>
      <c r="E76" s="141"/>
      <c r="F76" s="141"/>
      <c r="G76" s="141"/>
      <c r="H76" s="141"/>
      <c r="I76" s="141"/>
      <c r="J76" s="141"/>
      <c r="K76" s="67"/>
      <c r="L76" s="67"/>
    </row>
    <row r="77" spans="1:20">
      <c r="A77" s="315" t="s">
        <v>0</v>
      </c>
      <c r="B77" s="315"/>
      <c r="C77" s="315" t="s">
        <v>153</v>
      </c>
      <c r="D77" s="316" t="s">
        <v>2</v>
      </c>
      <c r="E77" s="316" t="s">
        <v>3</v>
      </c>
      <c r="F77" s="316" t="s">
        <v>4</v>
      </c>
      <c r="G77" s="316" t="s">
        <v>5</v>
      </c>
      <c r="H77" s="316" t="s">
        <v>6</v>
      </c>
      <c r="I77" s="316" t="s">
        <v>169</v>
      </c>
      <c r="J77" s="316" t="s">
        <v>168</v>
      </c>
      <c r="K77" s="67"/>
      <c r="L77" s="67"/>
    </row>
    <row r="78" spans="1:20">
      <c r="A78" s="70"/>
      <c r="B78" s="70"/>
      <c r="C78" s="70"/>
      <c r="D78" s="68"/>
      <c r="E78" s="68"/>
      <c r="F78" s="68"/>
      <c r="G78" s="68"/>
      <c r="H78" s="68"/>
      <c r="I78" s="68"/>
      <c r="J78" s="68"/>
      <c r="K78" s="67"/>
      <c r="L78" s="67"/>
    </row>
    <row r="79" spans="1:20">
      <c r="A79" s="70" t="s">
        <v>127</v>
      </c>
      <c r="B79" s="70"/>
      <c r="C79" s="70"/>
      <c r="D79" s="68"/>
      <c r="E79" s="68"/>
      <c r="F79" s="68"/>
      <c r="G79" s="68"/>
      <c r="H79" s="68"/>
      <c r="I79" s="68"/>
      <c r="J79" s="68"/>
      <c r="K79" s="67"/>
      <c r="L79" s="67"/>
    </row>
    <row r="80" spans="1:20">
      <c r="A80" s="68" t="s">
        <v>655</v>
      </c>
      <c r="B80" s="288" t="s">
        <v>709</v>
      </c>
      <c r="C80" s="347">
        <f>125*50</f>
        <v>6250</v>
      </c>
      <c r="D80" s="154">
        <f>(((B70*100)/50)*(1-'5.Closing Stock &amp; W Capital'!$D$16))*C$80*D74</f>
        <v>39929274</v>
      </c>
      <c r="E80" s="154">
        <f>((((C70*(1-'5.Closing Stock &amp; W Capital'!$D$16))+(B70*'5.Closing Stock &amp; W Capital'!$D$16))*100)/50)*$C80*E$74</f>
        <v>47414983.770000011</v>
      </c>
      <c r="F80" s="154">
        <f>((((D70*(1-'5.Closing Stock &amp; W Capital'!$D$16))+(C70*'5.Closing Stock &amp; W Capital'!$D$16))*100)/50)*$C80*F$74</f>
        <v>54324086.008500017</v>
      </c>
      <c r="G80" s="154">
        <f>((((E70*(1-'5.Closing Stock &amp; W Capital'!$D$16))+(D70*'5.Closing Stock &amp; W Capital'!$D$16))*100)/50)*$C80*G$74</f>
        <v>61805561.011425026</v>
      </c>
      <c r="H80" s="154">
        <f>((((F70*(1-'5.Closing Stock &amp; W Capital'!$D$16))+(E70*'5.Closing Stock &amp; W Capital'!$D$16))*100)/50)*$C80*H$74</f>
        <v>69899373.299621284</v>
      </c>
      <c r="I80" s="154">
        <f>((((G70*(1-'5.Closing Stock &amp; W Capital'!$D$16))+(F70*'5.Closing Stock &amp; W Capital'!$D$16))*100)/50)*$C80*I$74</f>
        <v>78648052.914108604</v>
      </c>
      <c r="J80" s="154">
        <f>((((H70*(1-'5.Closing Stock &amp; W Capital'!$D$16))+(G70*'5.Closing Stock &amp; W Capital'!$D$16))*100)/50)*$C80*J$74</f>
        <v>88096852.056795612</v>
      </c>
      <c r="K80" s="67"/>
      <c r="L80" s="67"/>
    </row>
    <row r="81" spans="1:20">
      <c r="A81" s="70" t="s">
        <v>293</v>
      </c>
      <c r="B81" s="288" t="s">
        <v>358</v>
      </c>
      <c r="C81" s="291">
        <v>100</v>
      </c>
      <c r="D81" s="154">
        <f>B40*$C$81*D74</f>
        <v>332640</v>
      </c>
      <c r="E81" s="154">
        <f t="shared" ref="E81:J81" si="19">C40*$C$81*E74</f>
        <v>384199.20000000007</v>
      </c>
      <c r="F81" s="154">
        <f t="shared" si="19"/>
        <v>440082.72000000009</v>
      </c>
      <c r="G81" s="154">
        <f t="shared" si="19"/>
        <v>500594.0940000001</v>
      </c>
      <c r="H81" s="154">
        <f t="shared" si="19"/>
        <v>566056.39860000031</v>
      </c>
      <c r="I81" s="154">
        <f t="shared" si="19"/>
        <v>636813.4484250003</v>
      </c>
      <c r="J81" s="154">
        <f t="shared" si="19"/>
        <v>713231.06223600043</v>
      </c>
      <c r="K81" s="67"/>
      <c r="L81" s="67"/>
    </row>
    <row r="82" spans="1:20">
      <c r="A82" s="70" t="s">
        <v>143</v>
      </c>
      <c r="B82" s="291"/>
      <c r="C82" s="291"/>
      <c r="D82" s="156">
        <f t="shared" ref="D82:J82" si="20">SUM(D80:D81)</f>
        <v>40261914</v>
      </c>
      <c r="E82" s="156">
        <f t="shared" si="20"/>
        <v>47799182.970000014</v>
      </c>
      <c r="F82" s="156">
        <f t="shared" si="20"/>
        <v>54764168.728500016</v>
      </c>
      <c r="G82" s="156">
        <f t="shared" si="20"/>
        <v>62306155.105425023</v>
      </c>
      <c r="H82" s="156">
        <f t="shared" si="20"/>
        <v>70465429.698221281</v>
      </c>
      <c r="I82" s="156">
        <f t="shared" si="20"/>
        <v>79284866.362533599</v>
      </c>
      <c r="J82" s="156">
        <f t="shared" si="20"/>
        <v>88810083.119031608</v>
      </c>
      <c r="K82" s="67"/>
      <c r="L82" s="67"/>
    </row>
    <row r="83" spans="1:20">
      <c r="A83" s="68"/>
      <c r="B83" s="288"/>
      <c r="C83" s="288"/>
      <c r="D83" s="68"/>
      <c r="E83" s="68"/>
      <c r="F83" s="68"/>
      <c r="G83" s="68"/>
      <c r="H83" s="68"/>
      <c r="I83" s="68"/>
      <c r="J83" s="68"/>
      <c r="K83" s="67"/>
      <c r="L83" s="67"/>
    </row>
    <row r="84" spans="1:20">
      <c r="A84" s="70" t="s">
        <v>142</v>
      </c>
      <c r="B84" s="291"/>
      <c r="C84" s="291"/>
      <c r="D84" s="68"/>
      <c r="E84" s="68"/>
      <c r="F84" s="68"/>
      <c r="G84" s="68"/>
      <c r="H84" s="68"/>
      <c r="I84" s="68"/>
      <c r="J84" s="68"/>
      <c r="K84" s="67"/>
      <c r="L84" s="67"/>
    </row>
    <row r="85" spans="1:20">
      <c r="A85" s="70" t="s">
        <v>311</v>
      </c>
      <c r="B85" s="291"/>
      <c r="C85" s="288"/>
      <c r="D85" s="68"/>
      <c r="E85" s="68"/>
      <c r="F85" s="68"/>
      <c r="G85" s="68"/>
      <c r="H85" s="68"/>
      <c r="I85" s="68"/>
      <c r="J85" s="68"/>
      <c r="K85" s="67"/>
      <c r="L85" s="67"/>
    </row>
    <row r="86" spans="1:20">
      <c r="A86" s="68" t="str">
        <f>A80</f>
        <v>cashew nuts</v>
      </c>
      <c r="B86" s="288" t="s">
        <v>358</v>
      </c>
      <c r="C86" s="152">
        <f>120*100</f>
        <v>12000</v>
      </c>
      <c r="D86" s="69">
        <f>B43*$C$86*D74</f>
        <v>39916800</v>
      </c>
      <c r="E86" s="69">
        <f t="shared" ref="E86:J86" si="21">C43*$C$86*E74</f>
        <v>46103904.000000007</v>
      </c>
      <c r="F86" s="69">
        <f t="shared" si="21"/>
        <v>52809926.400000013</v>
      </c>
      <c r="G86" s="69">
        <f t="shared" si="21"/>
        <v>60071291.280000016</v>
      </c>
      <c r="H86" s="69">
        <f t="shared" si="21"/>
        <v>67926767.832000032</v>
      </c>
      <c r="I86" s="69">
        <f t="shared" si="21"/>
        <v>76417613.811000034</v>
      </c>
      <c r="J86" s="69">
        <f t="shared" si="21"/>
        <v>85587727.468320057</v>
      </c>
      <c r="K86" s="67"/>
      <c r="L86" s="67"/>
    </row>
    <row r="87" spans="1:20">
      <c r="A87" s="68" t="s">
        <v>312</v>
      </c>
      <c r="B87" s="288">
        <v>10</v>
      </c>
      <c r="C87" s="288">
        <v>300</v>
      </c>
      <c r="D87" s="69">
        <f t="shared" ref="D87:J87" si="22">B10*$B$87*$C$87*D74</f>
        <v>415800</v>
      </c>
      <c r="E87" s="69">
        <f t="shared" si="22"/>
        <v>480249.00000000006</v>
      </c>
      <c r="F87" s="69">
        <f t="shared" si="22"/>
        <v>550103.40000000014</v>
      </c>
      <c r="G87" s="69">
        <f t="shared" si="22"/>
        <v>625742.61750000017</v>
      </c>
      <c r="H87" s="69">
        <f t="shared" si="22"/>
        <v>707570.4982500003</v>
      </c>
      <c r="I87" s="69">
        <f t="shared" si="22"/>
        <v>796016.81053125032</v>
      </c>
      <c r="J87" s="69">
        <f t="shared" si="22"/>
        <v>891538.82779500063</v>
      </c>
      <c r="K87" s="67"/>
      <c r="L87" s="67"/>
    </row>
    <row r="88" spans="1:20">
      <c r="A88" s="68" t="s">
        <v>144</v>
      </c>
      <c r="B88" s="288">
        <f>5*0.746*8</f>
        <v>29.84</v>
      </c>
      <c r="C88" s="288">
        <v>10</v>
      </c>
      <c r="D88" s="69">
        <f t="shared" ref="D88:J88" si="23">$B$88*$C$88*D74*B10</f>
        <v>41358.239999999998</v>
      </c>
      <c r="E88" s="69">
        <f t="shared" si="23"/>
        <v>47768.767200000002</v>
      </c>
      <c r="F88" s="69">
        <f t="shared" si="23"/>
        <v>54716.951520000002</v>
      </c>
      <c r="G88" s="69">
        <f t="shared" si="23"/>
        <v>62240.53235400001</v>
      </c>
      <c r="H88" s="69">
        <f t="shared" si="23"/>
        <v>70379.67889260003</v>
      </c>
      <c r="I88" s="69">
        <f t="shared" si="23"/>
        <v>79177.138754175045</v>
      </c>
      <c r="J88" s="69">
        <f t="shared" si="23"/>
        <v>88678.395404676063</v>
      </c>
      <c r="K88" s="67"/>
      <c r="L88" s="67"/>
    </row>
    <row r="89" spans="1:20">
      <c r="A89" s="68" t="s">
        <v>456</v>
      </c>
      <c r="B89" s="288"/>
      <c r="C89" s="288">
        <v>30</v>
      </c>
      <c r="D89" s="69">
        <f>((B70*100)/50)*$C$89*D74</f>
        <v>197588.16</v>
      </c>
      <c r="E89" s="69">
        <f t="shared" ref="E89:J89" si="24">((C70*100)/50)*$C$89*E74</f>
        <v>228214.32480000003</v>
      </c>
      <c r="F89" s="69">
        <f t="shared" si="24"/>
        <v>261409.13568000006</v>
      </c>
      <c r="G89" s="69">
        <f t="shared" si="24"/>
        <v>297352.89183600008</v>
      </c>
      <c r="H89" s="69">
        <f t="shared" si="24"/>
        <v>336237.50076840015</v>
      </c>
      <c r="I89" s="69">
        <f t="shared" si="24"/>
        <v>378267.18836445024</v>
      </c>
      <c r="J89" s="69">
        <f t="shared" si="24"/>
        <v>423659.25096818432</v>
      </c>
      <c r="K89" s="67"/>
      <c r="L89" s="67"/>
    </row>
    <row r="90" spans="1:20">
      <c r="A90" s="68" t="s">
        <v>455</v>
      </c>
      <c r="B90" s="288"/>
      <c r="C90" s="288">
        <v>30</v>
      </c>
      <c r="D90" s="69">
        <f>((B70))*$C$90*D74</f>
        <v>98794.08</v>
      </c>
      <c r="E90" s="69">
        <f t="shared" ref="E90:J90" si="25">((C70))*$C$90*E74</f>
        <v>114107.16240000002</v>
      </c>
      <c r="F90" s="69">
        <f t="shared" si="25"/>
        <v>130704.56784000003</v>
      </c>
      <c r="G90" s="69">
        <f t="shared" si="25"/>
        <v>148676.44591800004</v>
      </c>
      <c r="H90" s="69">
        <f t="shared" si="25"/>
        <v>168118.75038420007</v>
      </c>
      <c r="I90" s="69">
        <f t="shared" si="25"/>
        <v>189133.59418222512</v>
      </c>
      <c r="J90" s="69">
        <f t="shared" si="25"/>
        <v>211829.62548409213</v>
      </c>
      <c r="K90" s="67"/>
      <c r="L90" s="67"/>
    </row>
    <row r="91" spans="1:20">
      <c r="A91" s="9"/>
      <c r="B91" s="336"/>
      <c r="C91" s="336"/>
      <c r="D91" s="9"/>
      <c r="E91" s="9"/>
      <c r="F91" s="9"/>
      <c r="G91" s="9"/>
      <c r="H91" s="9"/>
      <c r="I91" s="9"/>
      <c r="J91" s="9"/>
      <c r="K91" s="67"/>
      <c r="L91" s="67"/>
    </row>
    <row r="92" spans="1:20">
      <c r="A92" s="9"/>
      <c r="B92" s="336"/>
      <c r="C92" s="336"/>
      <c r="D92" s="9"/>
      <c r="E92" s="9"/>
      <c r="F92" s="9"/>
      <c r="G92" s="9"/>
      <c r="H92" s="9"/>
      <c r="I92" s="9"/>
      <c r="J92" s="9"/>
      <c r="K92" s="67"/>
      <c r="L92" s="67"/>
    </row>
    <row r="93" spans="1:20">
      <c r="A93" s="9"/>
      <c r="B93" s="336"/>
      <c r="C93" s="336"/>
      <c r="D93" s="9"/>
      <c r="E93" s="9"/>
      <c r="F93" s="9"/>
      <c r="G93" s="9"/>
      <c r="H93" s="9"/>
      <c r="I93" s="9"/>
      <c r="J93" s="9"/>
      <c r="K93" s="67"/>
      <c r="L93" s="67"/>
    </row>
    <row r="94" spans="1:20">
      <c r="A94" s="68" t="s">
        <v>339</v>
      </c>
      <c r="B94" s="288"/>
      <c r="C94" s="288"/>
      <c r="D94" s="154"/>
      <c r="E94" s="154">
        <f>'5.Closing Stock &amp; W Capital'!F7</f>
        <v>1217146.392</v>
      </c>
      <c r="F94" s="154">
        <f>'5.Closing Stock &amp; W Capital'!G7</f>
        <v>1405804.0827600001</v>
      </c>
      <c r="G94" s="154">
        <f>'5.Closing Stock &amp; W Capital'!H7</f>
        <v>1610284.6766160002</v>
      </c>
      <c r="H94" s="154">
        <f>'5.Closing Stock &amp; W Capital'!I7</f>
        <v>1831698.8196507003</v>
      </c>
      <c r="I94" s="154">
        <f>'5.Closing Stock &amp; W Capital'!J7</f>
        <v>2071228.6652973308</v>
      </c>
      <c r="J94" s="154">
        <f>'5.Closing Stock &amp; W Capital'!K7</f>
        <v>2330132.248459497</v>
      </c>
      <c r="K94" s="67"/>
      <c r="L94" s="67"/>
    </row>
    <row r="95" spans="1:20">
      <c r="A95" s="68" t="s">
        <v>340</v>
      </c>
      <c r="B95" s="288"/>
      <c r="C95" s="348"/>
      <c r="D95" s="154">
        <f>'5.Closing Stock &amp; W Capital'!E16</f>
        <v>1217146.392</v>
      </c>
      <c r="E95" s="154">
        <f>'5.Closing Stock &amp; W Capital'!F16</f>
        <v>1405804.0827600001</v>
      </c>
      <c r="F95" s="154">
        <f>'5.Closing Stock &amp; W Capital'!G16</f>
        <v>1610284.6766160002</v>
      </c>
      <c r="G95" s="154">
        <f>'5.Closing Stock &amp; W Capital'!H16</f>
        <v>1831698.8196507003</v>
      </c>
      <c r="H95" s="154">
        <f>'5.Closing Stock &amp; W Capital'!I16</f>
        <v>2071228.6652973308</v>
      </c>
      <c r="I95" s="154">
        <f>'5.Closing Stock &amp; W Capital'!J16</f>
        <v>2330132.248459497</v>
      </c>
      <c r="J95" s="154">
        <f>'5.Closing Stock &amp; W Capital'!K16</f>
        <v>2609748.1182746375</v>
      </c>
      <c r="K95" s="67"/>
      <c r="L95" s="67"/>
    </row>
    <row r="96" spans="1:20">
      <c r="A96" s="68"/>
      <c r="B96" s="288"/>
      <c r="C96" s="349"/>
      <c r="D96" s="154"/>
      <c r="E96" s="154"/>
      <c r="F96" s="154"/>
      <c r="G96" s="154"/>
      <c r="H96" s="154"/>
      <c r="I96" s="154"/>
      <c r="J96" s="154"/>
      <c r="K96" s="67"/>
      <c r="L96" s="67"/>
      <c r="M96" s="67"/>
      <c r="N96" s="67"/>
      <c r="O96" s="67"/>
      <c r="P96" s="67"/>
      <c r="Q96" s="67"/>
      <c r="R96" s="67"/>
      <c r="S96" s="67"/>
      <c r="T96" s="67"/>
    </row>
    <row r="97" spans="1:20">
      <c r="A97" s="70" t="s">
        <v>318</v>
      </c>
      <c r="B97" s="291"/>
      <c r="C97" s="291"/>
      <c r="D97" s="84">
        <f t="shared" ref="D97:J97" si="26">SUM(D86:D94)-D95</f>
        <v>39453194.088</v>
      </c>
      <c r="E97" s="84">
        <f t="shared" si="26"/>
        <v>46785585.563640006</v>
      </c>
      <c r="F97" s="84">
        <f t="shared" si="26"/>
        <v>53602379.861184016</v>
      </c>
      <c r="G97" s="84">
        <f t="shared" si="26"/>
        <v>60983889.624573313</v>
      </c>
      <c r="H97" s="84">
        <f t="shared" si="26"/>
        <v>68969544.414648592</v>
      </c>
      <c r="I97" s="84">
        <f t="shared" si="26"/>
        <v>77601304.959669948</v>
      </c>
      <c r="J97" s="84">
        <f t="shared" si="26"/>
        <v>86923817.698156878</v>
      </c>
      <c r="K97" s="67"/>
      <c r="L97" s="67"/>
      <c r="M97" s="67"/>
      <c r="N97" s="67"/>
      <c r="O97" s="67"/>
      <c r="P97" s="67"/>
      <c r="Q97" s="67"/>
      <c r="R97" s="67"/>
      <c r="S97" s="67"/>
      <c r="T97" s="67"/>
    </row>
    <row r="98" spans="1:20">
      <c r="A98" s="70" t="s">
        <v>309</v>
      </c>
      <c r="B98" s="288"/>
      <c r="C98" s="288"/>
      <c r="D98" s="80"/>
      <c r="E98" s="80"/>
      <c r="F98" s="80"/>
      <c r="G98" s="80"/>
      <c r="H98" s="80"/>
      <c r="I98" s="68"/>
      <c r="J98" s="68"/>
      <c r="K98" s="67"/>
      <c r="L98" s="67"/>
      <c r="M98" s="67"/>
      <c r="N98" s="67"/>
      <c r="O98" s="67"/>
      <c r="P98" s="67"/>
      <c r="Q98" s="67"/>
      <c r="R98" s="67"/>
      <c r="S98" s="67"/>
      <c r="T98" s="67"/>
    </row>
    <row r="99" spans="1:20">
      <c r="A99" s="68" t="s">
        <v>188</v>
      </c>
      <c r="B99" s="288">
        <v>1</v>
      </c>
      <c r="C99" s="152">
        <v>12000</v>
      </c>
      <c r="D99" s="69">
        <f t="shared" ref="D99:J99" si="27">$B$99*$C$99*12*D74</f>
        <v>144000</v>
      </c>
      <c r="E99" s="69">
        <f t="shared" si="27"/>
        <v>151200</v>
      </c>
      <c r="F99" s="69">
        <f t="shared" si="27"/>
        <v>158760</v>
      </c>
      <c r="G99" s="69">
        <f t="shared" si="27"/>
        <v>166698.00000000003</v>
      </c>
      <c r="H99" s="69">
        <f t="shared" si="27"/>
        <v>175032.90000000002</v>
      </c>
      <c r="I99" s="69">
        <f t="shared" si="27"/>
        <v>183784.54500000004</v>
      </c>
      <c r="J99" s="69">
        <f t="shared" si="27"/>
        <v>192973.77225000007</v>
      </c>
      <c r="K99" s="67"/>
      <c r="L99" s="67"/>
      <c r="M99" s="67"/>
      <c r="N99" s="67"/>
      <c r="O99" s="67"/>
      <c r="P99" s="67"/>
      <c r="Q99" s="67"/>
      <c r="R99" s="67"/>
      <c r="S99" s="67"/>
      <c r="T99" s="67"/>
    </row>
    <row r="100" spans="1:20">
      <c r="A100" s="68"/>
      <c r="B100" s="288"/>
      <c r="C100" s="152"/>
      <c r="D100" s="69"/>
      <c r="E100" s="69"/>
      <c r="F100" s="69"/>
      <c r="G100" s="69"/>
      <c r="H100" s="69"/>
      <c r="I100" s="69"/>
      <c r="J100" s="69"/>
      <c r="K100" s="67"/>
      <c r="L100" s="67"/>
      <c r="M100" s="67"/>
      <c r="N100" s="145"/>
      <c r="O100" s="67"/>
      <c r="P100" s="67"/>
      <c r="Q100" s="67"/>
      <c r="R100" s="67"/>
      <c r="S100" s="67"/>
      <c r="T100" s="67"/>
    </row>
    <row r="101" spans="1:20">
      <c r="A101" s="68"/>
      <c r="B101" s="288"/>
      <c r="C101" s="152"/>
      <c r="D101" s="69"/>
      <c r="E101" s="69"/>
      <c r="F101" s="69"/>
      <c r="G101" s="69"/>
      <c r="H101" s="69"/>
      <c r="I101" s="69"/>
      <c r="J101" s="69"/>
      <c r="K101" s="67"/>
      <c r="L101" s="67"/>
      <c r="M101" s="67"/>
      <c r="N101" s="67"/>
      <c r="O101" s="67"/>
      <c r="P101" s="67"/>
      <c r="Q101" s="67"/>
      <c r="R101" s="67"/>
      <c r="S101" s="67"/>
      <c r="T101" s="67"/>
    </row>
    <row r="102" spans="1:20">
      <c r="A102" s="68"/>
      <c r="B102" s="288"/>
      <c r="C102" s="152"/>
      <c r="D102" s="69"/>
      <c r="E102" s="69"/>
      <c r="F102" s="69"/>
      <c r="G102" s="69"/>
      <c r="H102" s="69"/>
      <c r="I102" s="69"/>
      <c r="J102" s="69"/>
      <c r="K102" s="67"/>
      <c r="L102" s="67"/>
      <c r="M102" s="67"/>
      <c r="N102" s="67"/>
      <c r="O102" s="67"/>
      <c r="P102" s="67"/>
      <c r="Q102" s="67"/>
      <c r="R102" s="67"/>
      <c r="S102" s="67"/>
      <c r="T102" s="67"/>
    </row>
    <row r="103" spans="1:20">
      <c r="A103" s="68"/>
      <c r="B103" s="288"/>
      <c r="C103" s="152"/>
      <c r="D103" s="69"/>
      <c r="E103" s="69"/>
      <c r="F103" s="69"/>
      <c r="G103" s="69"/>
      <c r="H103" s="69"/>
      <c r="I103" s="69"/>
      <c r="J103" s="69"/>
      <c r="K103" s="67"/>
      <c r="L103" s="67"/>
      <c r="M103" s="67"/>
      <c r="N103" s="67"/>
      <c r="O103" s="67"/>
      <c r="P103" s="67"/>
      <c r="Q103" s="67"/>
      <c r="R103" s="67"/>
      <c r="S103" s="67"/>
      <c r="T103" s="67"/>
    </row>
    <row r="104" spans="1:20">
      <c r="A104" s="68"/>
      <c r="B104" s="288"/>
      <c r="C104" s="152"/>
      <c r="D104" s="69"/>
      <c r="E104" s="69"/>
      <c r="F104" s="69"/>
      <c r="G104" s="69"/>
      <c r="H104" s="69"/>
      <c r="I104" s="69"/>
      <c r="J104" s="69"/>
      <c r="K104" s="67"/>
      <c r="L104" s="67"/>
      <c r="M104" s="67"/>
      <c r="N104" s="67"/>
      <c r="O104" s="67"/>
      <c r="P104" s="67"/>
      <c r="Q104" s="67"/>
      <c r="R104" s="67"/>
      <c r="S104" s="67"/>
      <c r="T104" s="67"/>
    </row>
    <row r="105" spans="1:20">
      <c r="A105" s="68"/>
      <c r="B105" s="288"/>
      <c r="C105" s="152"/>
      <c r="D105" s="69"/>
      <c r="E105" s="69"/>
      <c r="F105" s="69"/>
      <c r="G105" s="69"/>
      <c r="H105" s="69"/>
      <c r="I105" s="69"/>
      <c r="J105" s="69"/>
      <c r="K105" s="67"/>
      <c r="L105" s="67"/>
      <c r="M105" s="67"/>
      <c r="N105" s="67"/>
      <c r="O105" s="67"/>
      <c r="P105" s="67"/>
      <c r="Q105" s="67"/>
      <c r="R105" s="67"/>
      <c r="S105" s="67"/>
      <c r="T105" s="67"/>
    </row>
    <row r="106" spans="1:20">
      <c r="A106" s="70" t="s">
        <v>322</v>
      </c>
      <c r="B106" s="291"/>
      <c r="C106" s="291"/>
      <c r="D106" s="84">
        <f t="shared" ref="D106:J106" si="28">SUM(D99:D105)</f>
        <v>144000</v>
      </c>
      <c r="E106" s="84">
        <f t="shared" si="28"/>
        <v>151200</v>
      </c>
      <c r="F106" s="84">
        <f t="shared" si="28"/>
        <v>158760</v>
      </c>
      <c r="G106" s="84">
        <f t="shared" si="28"/>
        <v>166698.00000000003</v>
      </c>
      <c r="H106" s="84">
        <f t="shared" si="28"/>
        <v>175032.90000000002</v>
      </c>
      <c r="I106" s="84">
        <f t="shared" si="28"/>
        <v>183784.54500000004</v>
      </c>
      <c r="J106" s="84">
        <f t="shared" si="28"/>
        <v>192973.77225000007</v>
      </c>
      <c r="K106" s="67"/>
      <c r="L106" s="67"/>
      <c r="M106" s="67"/>
      <c r="N106" s="145"/>
      <c r="O106" s="67"/>
      <c r="P106" s="67"/>
      <c r="Q106" s="67"/>
      <c r="R106" s="67"/>
      <c r="S106" s="67"/>
      <c r="T106" s="67"/>
    </row>
    <row r="107" spans="1:20">
      <c r="A107" s="70" t="s">
        <v>130</v>
      </c>
      <c r="B107" s="291"/>
      <c r="C107" s="291"/>
      <c r="D107" s="84">
        <f t="shared" ref="D107:J107" si="29">D97+D106</f>
        <v>39597194.088</v>
      </c>
      <c r="E107" s="84">
        <f t="shared" si="29"/>
        <v>46936785.563640006</v>
      </c>
      <c r="F107" s="84">
        <f t="shared" si="29"/>
        <v>53761139.861184016</v>
      </c>
      <c r="G107" s="84">
        <f t="shared" si="29"/>
        <v>61150587.624573313</v>
      </c>
      <c r="H107" s="84">
        <f t="shared" si="29"/>
        <v>69144577.314648598</v>
      </c>
      <c r="I107" s="84">
        <f t="shared" si="29"/>
        <v>77785089.504669949</v>
      </c>
      <c r="J107" s="84">
        <f t="shared" si="29"/>
        <v>87116791.470406875</v>
      </c>
      <c r="K107" s="67"/>
      <c r="L107" s="67"/>
      <c r="M107" s="67"/>
      <c r="N107" s="67"/>
      <c r="O107" s="67"/>
      <c r="P107" s="67"/>
      <c r="Q107" s="67"/>
      <c r="R107" s="67"/>
      <c r="S107" s="67"/>
      <c r="T107" s="67"/>
    </row>
    <row r="108" spans="1:20">
      <c r="A108" s="68"/>
      <c r="B108" s="68"/>
      <c r="C108" s="68"/>
      <c r="D108" s="80"/>
      <c r="E108" s="80"/>
      <c r="F108" s="80"/>
      <c r="G108" s="80"/>
      <c r="H108" s="80"/>
      <c r="I108" s="68"/>
      <c r="J108" s="68"/>
      <c r="K108" s="67"/>
      <c r="L108" s="67"/>
      <c r="M108" s="67"/>
      <c r="N108" s="67"/>
      <c r="O108" s="67"/>
      <c r="P108" s="67"/>
      <c r="Q108" s="67"/>
      <c r="R108" s="67"/>
      <c r="S108" s="67"/>
      <c r="T108" s="67"/>
    </row>
    <row r="109" spans="1:20">
      <c r="A109" s="70"/>
      <c r="B109" s="70"/>
      <c r="C109" s="70"/>
      <c r="D109" s="80"/>
      <c r="E109" s="80"/>
      <c r="F109" s="80"/>
      <c r="G109" s="80"/>
      <c r="H109" s="80"/>
      <c r="I109" s="68"/>
      <c r="J109" s="68"/>
      <c r="K109" s="67"/>
      <c r="L109" s="67"/>
      <c r="M109" s="67"/>
      <c r="N109" s="67"/>
      <c r="O109" s="67"/>
      <c r="P109" s="67"/>
      <c r="Q109" s="67"/>
      <c r="R109" s="67"/>
      <c r="S109" s="67"/>
      <c r="T109" s="67"/>
    </row>
    <row r="110" spans="1:20">
      <c r="A110" s="70" t="s">
        <v>314</v>
      </c>
      <c r="B110" s="70"/>
      <c r="C110" s="70"/>
      <c r="D110" s="84">
        <f t="shared" ref="D110:J110" si="30">D82-D107</f>
        <v>664719.91200000048</v>
      </c>
      <c r="E110" s="84">
        <f t="shared" si="30"/>
        <v>862397.40636000782</v>
      </c>
      <c r="F110" s="84">
        <f t="shared" si="30"/>
        <v>1003028.8673160002</v>
      </c>
      <c r="G110" s="84">
        <f t="shared" si="30"/>
        <v>1155567.4808517098</v>
      </c>
      <c r="H110" s="84">
        <f t="shared" si="30"/>
        <v>1320852.3835726827</v>
      </c>
      <c r="I110" s="84">
        <f t="shared" si="30"/>
        <v>1499776.8578636497</v>
      </c>
      <c r="J110" s="84">
        <f t="shared" si="30"/>
        <v>1693291.6486247331</v>
      </c>
      <c r="K110" s="67"/>
      <c r="L110" s="67"/>
      <c r="M110" s="67"/>
      <c r="N110" s="67"/>
      <c r="O110" s="67"/>
      <c r="P110" s="67"/>
      <c r="Q110" s="67"/>
      <c r="R110" s="67"/>
      <c r="S110" s="67"/>
      <c r="T110" s="67"/>
    </row>
    <row r="111" spans="1:20">
      <c r="A111" s="67"/>
      <c r="B111" s="67"/>
      <c r="C111" s="67"/>
      <c r="D111" s="67"/>
      <c r="E111" s="67"/>
      <c r="F111" s="67"/>
      <c r="G111" s="67"/>
      <c r="H111" s="67"/>
      <c r="I111" s="67"/>
      <c r="J111" s="67"/>
    </row>
    <row r="112" spans="1:20">
      <c r="A112" s="67" t="s">
        <v>51</v>
      </c>
      <c r="B112" s="67"/>
      <c r="C112" s="67"/>
      <c r="D112" s="67"/>
      <c r="E112" s="67"/>
      <c r="F112" s="67"/>
      <c r="G112" s="67"/>
      <c r="H112" s="67"/>
      <c r="I112" s="67"/>
      <c r="J112" s="67"/>
    </row>
    <row r="113" spans="1:10">
      <c r="A113" s="384" t="s">
        <v>414</v>
      </c>
      <c r="B113" s="384"/>
      <c r="C113" s="384"/>
      <c r="D113" s="384"/>
      <c r="E113" s="384"/>
      <c r="F113" s="384"/>
      <c r="G113" s="384"/>
      <c r="H113" s="384"/>
      <c r="I113" s="384"/>
      <c r="J113" s="384"/>
    </row>
    <row r="115" spans="1:10">
      <c r="A115" t="s">
        <v>508</v>
      </c>
    </row>
    <row r="116" spans="1:10">
      <c r="A116">
        <v>1</v>
      </c>
      <c r="B116" t="s">
        <v>521</v>
      </c>
    </row>
    <row r="117" spans="1:10">
      <c r="A117">
        <v>2</v>
      </c>
      <c r="B117" t="s">
        <v>522</v>
      </c>
    </row>
    <row r="118" spans="1:10">
      <c r="A118">
        <v>3</v>
      </c>
      <c r="B118" s="67" t="s">
        <v>569</v>
      </c>
    </row>
  </sheetData>
  <mergeCells count="5">
    <mergeCell ref="A72:J72"/>
    <mergeCell ref="A2:H2"/>
    <mergeCell ref="A113:J113"/>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dimension ref="A3:O192"/>
  <sheetViews>
    <sheetView view="pageBreakPreview" topLeftCell="A8" zoomScale="80" zoomScaleSheetLayoutView="80" workbookViewId="0">
      <selection activeCell="F175" sqref="F175"/>
    </sheetView>
  </sheetViews>
  <sheetFormatPr defaultRowHeight="15"/>
  <cols>
    <col min="1" max="1" width="28.7109375" customWidth="1"/>
    <col min="2" max="2" width="10.5703125" customWidth="1"/>
    <col min="3" max="3" width="10.5703125" bestFit="1" customWidth="1"/>
    <col min="4" max="4" width="15.28515625" customWidth="1"/>
    <col min="5" max="5" width="13.7109375" customWidth="1"/>
    <col min="6" max="6" width="15.7109375" customWidth="1"/>
    <col min="7" max="8" width="17.28515625" customWidth="1"/>
    <col min="9" max="10" width="16.7109375" bestFit="1" customWidth="1"/>
    <col min="11" max="11" width="10.140625" bestFit="1" customWidth="1"/>
    <col min="12" max="13" width="9.140625" bestFit="1" customWidth="1"/>
    <col min="14" max="14" width="14.28515625" bestFit="1" customWidth="1"/>
    <col min="15" max="15" width="12.7109375" bestFit="1" customWidth="1"/>
  </cols>
  <sheetData>
    <row r="3" spans="1:8" ht="18.75">
      <c r="A3" s="381" t="s">
        <v>729</v>
      </c>
      <c r="B3" s="381"/>
      <c r="C3" s="381"/>
      <c r="D3" s="381"/>
      <c r="E3" s="381"/>
      <c r="F3" s="381"/>
      <c r="G3" s="381"/>
      <c r="H3" s="381"/>
    </row>
    <row r="4" spans="1:8" ht="18.75">
      <c r="A4" s="381" t="s">
        <v>556</v>
      </c>
      <c r="B4" s="381"/>
      <c r="C4" s="381"/>
      <c r="D4" s="381"/>
      <c r="E4" s="381"/>
      <c r="F4" s="381"/>
      <c r="G4" s="381"/>
      <c r="H4" s="381"/>
    </row>
    <row r="5" spans="1:8">
      <c r="A5" s="67" t="s">
        <v>162</v>
      </c>
      <c r="B5" s="309">
        <f>200/100</f>
        <v>2</v>
      </c>
      <c r="C5" s="67" t="s">
        <v>466</v>
      </c>
      <c r="D5" s="67"/>
      <c r="E5" s="67"/>
      <c r="F5" s="67"/>
      <c r="G5" s="67"/>
      <c r="H5" s="67"/>
    </row>
    <row r="6" spans="1:8">
      <c r="A6" s="67" t="s">
        <v>163</v>
      </c>
      <c r="B6" s="309">
        <v>8</v>
      </c>
      <c r="C6" s="67"/>
      <c r="D6" s="67"/>
      <c r="E6" s="67"/>
      <c r="F6" s="67"/>
      <c r="G6" s="67"/>
      <c r="H6" s="67"/>
    </row>
    <row r="7" spans="1:8">
      <c r="A7" s="67"/>
      <c r="B7" s="309"/>
      <c r="C7" s="67"/>
      <c r="D7" s="67"/>
      <c r="E7" s="67"/>
      <c r="F7" s="67"/>
      <c r="G7" s="67"/>
      <c r="H7" s="67"/>
    </row>
    <row r="8" spans="1:8">
      <c r="A8" s="67"/>
      <c r="B8" s="309"/>
      <c r="C8" s="67"/>
      <c r="D8" s="67"/>
      <c r="E8" s="67"/>
      <c r="F8" s="67"/>
      <c r="G8" s="67"/>
      <c r="H8" s="67"/>
    </row>
    <row r="9" spans="1:8">
      <c r="A9" s="67"/>
      <c r="B9" s="67"/>
      <c r="C9" s="67"/>
      <c r="D9" s="67"/>
      <c r="E9" s="67"/>
      <c r="F9" s="67"/>
      <c r="G9" s="67"/>
      <c r="H9" s="67"/>
    </row>
    <row r="10" spans="1:8">
      <c r="A10" s="67" t="s">
        <v>721</v>
      </c>
      <c r="B10" s="146">
        <f>AVERAGE(B12:H12)</f>
        <v>207.98399999999998</v>
      </c>
      <c r="C10" s="67"/>
      <c r="D10" s="67"/>
      <c r="E10" s="67"/>
      <c r="F10" s="67"/>
      <c r="G10" s="67"/>
      <c r="H10" s="67"/>
    </row>
    <row r="11" spans="1:8">
      <c r="A11" s="315" t="s">
        <v>0</v>
      </c>
      <c r="B11" s="316" t="s">
        <v>2</v>
      </c>
      <c r="C11" s="316" t="s">
        <v>3</v>
      </c>
      <c r="D11" s="316" t="s">
        <v>4</v>
      </c>
      <c r="E11" s="316" t="s">
        <v>5</v>
      </c>
      <c r="F11" s="316" t="s">
        <v>6</v>
      </c>
      <c r="G11" s="316" t="s">
        <v>169</v>
      </c>
      <c r="H11" s="316" t="s">
        <v>168</v>
      </c>
    </row>
    <row r="12" spans="1:8">
      <c r="A12" s="68" t="s">
        <v>170</v>
      </c>
      <c r="B12" s="219">
        <f>B32/($B$5*$B$6)</f>
        <v>129.99</v>
      </c>
      <c r="C12" s="219">
        <f t="shared" ref="C12:H12" si="0">C32/($B$5*$B$6)</f>
        <v>155.988</v>
      </c>
      <c r="D12" s="219">
        <f t="shared" si="0"/>
        <v>181.98599999999996</v>
      </c>
      <c r="E12" s="219">
        <f t="shared" si="0"/>
        <v>207.98399999999998</v>
      </c>
      <c r="F12" s="219">
        <f t="shared" si="0"/>
        <v>233.98199999999997</v>
      </c>
      <c r="G12" s="219">
        <f t="shared" si="0"/>
        <v>259.98</v>
      </c>
      <c r="H12" s="219">
        <f t="shared" si="0"/>
        <v>285.97800000000007</v>
      </c>
    </row>
    <row r="13" spans="1:8">
      <c r="A13" s="68" t="s">
        <v>710</v>
      </c>
      <c r="B13" s="68">
        <f>'11.F&amp;V Crop Production details'!B73</f>
        <v>1995.84</v>
      </c>
      <c r="C13" s="68">
        <f>'11.F&amp;V Crop Production details'!C73</f>
        <v>2395.0079999999998</v>
      </c>
      <c r="D13" s="68">
        <f>'11.F&amp;V Crop Production details'!D73</f>
        <v>2794.1759999999995</v>
      </c>
      <c r="E13" s="68">
        <f>'11.F&amp;V Crop Production details'!E73</f>
        <v>3193.3439999999996</v>
      </c>
      <c r="F13" s="68">
        <f>'11.F&amp;V Crop Production details'!F73</f>
        <v>3592.5119999999997</v>
      </c>
      <c r="G13" s="68">
        <f>'11.F&amp;V Crop Production details'!G73</f>
        <v>3991.6800000000003</v>
      </c>
      <c r="H13" s="68">
        <f>'11.F&amp;V Crop Production details'!H73</f>
        <v>4390.8480000000009</v>
      </c>
    </row>
    <row r="14" spans="1:8">
      <c r="A14" s="68" t="str">
        <f>'11.F&amp;V Crop Production details'!A74</f>
        <v>Raw Cashew Nut</v>
      </c>
      <c r="B14" s="68">
        <f>'11.F&amp;V Crop Production details'!B74</f>
        <v>84</v>
      </c>
      <c r="C14" s="68">
        <f>'11.F&amp;V Crop Production details'!C74</f>
        <v>100.8</v>
      </c>
      <c r="D14" s="68">
        <f>'11.F&amp;V Crop Production details'!D74</f>
        <v>117.6</v>
      </c>
      <c r="E14" s="68">
        <f>'11.F&amp;V Crop Production details'!E74</f>
        <v>134.4</v>
      </c>
      <c r="F14" s="68">
        <f>'11.F&amp;V Crop Production details'!F74</f>
        <v>151.20000000000002</v>
      </c>
      <c r="G14" s="68">
        <f>'11.F&amp;V Crop Production details'!G74</f>
        <v>168.00000000000003</v>
      </c>
      <c r="H14" s="68">
        <f>'11.F&amp;V Crop Production details'!H74</f>
        <v>184.80000000000004</v>
      </c>
    </row>
    <row r="15" spans="1:8" hidden="1">
      <c r="A15" s="68">
        <f>'10.Grain Production details'!A69</f>
        <v>0</v>
      </c>
      <c r="B15" s="68">
        <f>'10.Grain Production details'!B69</f>
        <v>0</v>
      </c>
      <c r="C15" s="68">
        <f>'10.Grain Production details'!C69</f>
        <v>0</v>
      </c>
      <c r="D15" s="68">
        <f>'10.Grain Production details'!D69</f>
        <v>0</v>
      </c>
      <c r="E15" s="68">
        <f>'10.Grain Production details'!E69</f>
        <v>0</v>
      </c>
      <c r="F15" s="68">
        <f>'10.Grain Production details'!F69</f>
        <v>0</v>
      </c>
      <c r="G15" s="68">
        <f>'10.Grain Production details'!G69</f>
        <v>0</v>
      </c>
      <c r="H15" s="68">
        <f>'10.Grain Production details'!H69</f>
        <v>0</v>
      </c>
    </row>
    <row r="16" spans="1:8" hidden="1">
      <c r="A16" s="68">
        <f>'10.Grain Production details'!A70</f>
        <v>0</v>
      </c>
      <c r="B16" s="68">
        <f>'10.Grain Production details'!B70</f>
        <v>0</v>
      </c>
      <c r="C16" s="68">
        <f>'10.Grain Production details'!C70</f>
        <v>0</v>
      </c>
      <c r="D16" s="68">
        <f>'10.Grain Production details'!D70</f>
        <v>0</v>
      </c>
      <c r="E16" s="68">
        <f>'10.Grain Production details'!E70</f>
        <v>0</v>
      </c>
      <c r="F16" s="68">
        <f>'10.Grain Production details'!F70</f>
        <v>0</v>
      </c>
      <c r="G16" s="68">
        <f>'10.Grain Production details'!G70</f>
        <v>0</v>
      </c>
      <c r="H16" s="68">
        <f>'10.Grain Production details'!H70</f>
        <v>0</v>
      </c>
    </row>
    <row r="17" spans="1:8" hidden="1">
      <c r="A17" s="68">
        <f>'10.Grain Production details'!A71</f>
        <v>0</v>
      </c>
      <c r="B17" s="68">
        <f>'10.Grain Production details'!B71</f>
        <v>0</v>
      </c>
      <c r="C17" s="68">
        <f>'10.Grain Production details'!C71</f>
        <v>0</v>
      </c>
      <c r="D17" s="68">
        <f>'10.Grain Production details'!D71</f>
        <v>0</v>
      </c>
      <c r="E17" s="68">
        <f>'10.Grain Production details'!E71</f>
        <v>0</v>
      </c>
      <c r="F17" s="68">
        <f>'10.Grain Production details'!F71</f>
        <v>0</v>
      </c>
      <c r="G17" s="68">
        <f>'10.Grain Production details'!G71</f>
        <v>0</v>
      </c>
      <c r="H17" s="68">
        <f>'10.Grain Production details'!H71</f>
        <v>0</v>
      </c>
    </row>
    <row r="18" spans="1:8" hidden="1">
      <c r="A18" s="68">
        <f>'10.Grain Production details'!A72</f>
        <v>0</v>
      </c>
      <c r="B18" s="68">
        <f>'10.Grain Production details'!B72</f>
        <v>0</v>
      </c>
      <c r="C18" s="68">
        <f>'10.Grain Production details'!C72</f>
        <v>0</v>
      </c>
      <c r="D18" s="68">
        <f>'10.Grain Production details'!D72</f>
        <v>0</v>
      </c>
      <c r="E18" s="68">
        <f>'10.Grain Production details'!E72</f>
        <v>0</v>
      </c>
      <c r="F18" s="68">
        <f>'10.Grain Production details'!F72</f>
        <v>0</v>
      </c>
      <c r="G18" s="68">
        <f>'10.Grain Production details'!G72</f>
        <v>0</v>
      </c>
      <c r="H18" s="68">
        <f>'10.Grain Production details'!H72</f>
        <v>0</v>
      </c>
    </row>
    <row r="19" spans="1:8" hidden="1">
      <c r="A19" s="68">
        <f>'10.Grain Production details'!A73</f>
        <v>0</v>
      </c>
      <c r="B19" s="68">
        <f>'10.Grain Production details'!B73</f>
        <v>0</v>
      </c>
      <c r="C19" s="68">
        <f>'10.Grain Production details'!C73</f>
        <v>0</v>
      </c>
      <c r="D19" s="68">
        <f>'10.Grain Production details'!D73</f>
        <v>0</v>
      </c>
      <c r="E19" s="68">
        <f>'10.Grain Production details'!E73</f>
        <v>0</v>
      </c>
      <c r="F19" s="68">
        <f>'10.Grain Production details'!F73</f>
        <v>0</v>
      </c>
      <c r="G19" s="68">
        <f>'10.Grain Production details'!G73</f>
        <v>0</v>
      </c>
      <c r="H19" s="68">
        <f>'10.Grain Production details'!H73</f>
        <v>0</v>
      </c>
    </row>
    <row r="20" spans="1:8" hidden="1">
      <c r="A20" s="68">
        <f>'10.Grain Production details'!A74</f>
        <v>0</v>
      </c>
      <c r="B20" s="68">
        <f>'10.Grain Production details'!B74</f>
        <v>0</v>
      </c>
      <c r="C20" s="68">
        <f>'10.Grain Production details'!C74</f>
        <v>0</v>
      </c>
      <c r="D20" s="68">
        <f>'10.Grain Production details'!D74</f>
        <v>0</v>
      </c>
      <c r="E20" s="68">
        <f>'10.Grain Production details'!E74</f>
        <v>0</v>
      </c>
      <c r="F20" s="68">
        <f>'10.Grain Production details'!F74</f>
        <v>0</v>
      </c>
      <c r="G20" s="68">
        <f>'10.Grain Production details'!G74</f>
        <v>0</v>
      </c>
      <c r="H20" s="68">
        <f>'10.Grain Production details'!H74</f>
        <v>0</v>
      </c>
    </row>
    <row r="21" spans="1:8" hidden="1">
      <c r="A21" s="68">
        <f>'10.Grain Production details'!A75</f>
        <v>0</v>
      </c>
      <c r="B21" s="68">
        <f>'10.Grain Production details'!B75</f>
        <v>0</v>
      </c>
      <c r="C21" s="68">
        <f>'10.Grain Production details'!C75</f>
        <v>0</v>
      </c>
      <c r="D21" s="68">
        <f>'10.Grain Production details'!D75</f>
        <v>0</v>
      </c>
      <c r="E21" s="68">
        <f>'10.Grain Production details'!E75</f>
        <v>0</v>
      </c>
      <c r="F21" s="68">
        <f>'10.Grain Production details'!F75</f>
        <v>0</v>
      </c>
      <c r="G21" s="68">
        <f>'10.Grain Production details'!G75</f>
        <v>0</v>
      </c>
      <c r="H21" s="68">
        <f>'10.Grain Production details'!H75</f>
        <v>0</v>
      </c>
    </row>
    <row r="22" spans="1:8" hidden="1">
      <c r="A22" s="68">
        <f>'10.Grain Production details'!A76</f>
        <v>0</v>
      </c>
      <c r="B22" s="68">
        <f>'10.Grain Production details'!B76</f>
        <v>0</v>
      </c>
      <c r="C22" s="68">
        <f>'10.Grain Production details'!C76</f>
        <v>0</v>
      </c>
      <c r="D22" s="68">
        <f>'10.Grain Production details'!D76</f>
        <v>0</v>
      </c>
      <c r="E22" s="68">
        <f>'10.Grain Production details'!E76</f>
        <v>0</v>
      </c>
      <c r="F22" s="68">
        <f>'10.Grain Production details'!F76</f>
        <v>0</v>
      </c>
      <c r="G22" s="68">
        <f>'10.Grain Production details'!G76</f>
        <v>0</v>
      </c>
      <c r="H22" s="68">
        <f>'10.Grain Production details'!H76</f>
        <v>0</v>
      </c>
    </row>
    <row r="23" spans="1:8" hidden="1">
      <c r="A23" s="68">
        <f>'10.Grain Production details'!A77</f>
        <v>0</v>
      </c>
      <c r="B23" s="68">
        <f>'10.Grain Production details'!B77</f>
        <v>0</v>
      </c>
      <c r="C23" s="68">
        <f>'10.Grain Production details'!C77</f>
        <v>0</v>
      </c>
      <c r="D23" s="68">
        <f>'10.Grain Production details'!D77</f>
        <v>0</v>
      </c>
      <c r="E23" s="68">
        <f>'10.Grain Production details'!E77</f>
        <v>0</v>
      </c>
      <c r="F23" s="68">
        <f>'10.Grain Production details'!F77</f>
        <v>0</v>
      </c>
      <c r="G23" s="68">
        <f>'10.Grain Production details'!G77</f>
        <v>0</v>
      </c>
      <c r="H23" s="68">
        <f>'10.Grain Production details'!H77</f>
        <v>0</v>
      </c>
    </row>
    <row r="24" spans="1:8" hidden="1">
      <c r="A24" s="68">
        <f>'10.Grain Production details'!A78</f>
        <v>0</v>
      </c>
      <c r="B24" s="68">
        <f>'10.Grain Production details'!B78</f>
        <v>0</v>
      </c>
      <c r="C24" s="68">
        <f>'10.Grain Production details'!C78</f>
        <v>0</v>
      </c>
      <c r="D24" s="68">
        <f>'10.Grain Production details'!D78</f>
        <v>0</v>
      </c>
      <c r="E24" s="68">
        <f>'10.Grain Production details'!E78</f>
        <v>0</v>
      </c>
      <c r="F24" s="68">
        <f>'10.Grain Production details'!F78</f>
        <v>0</v>
      </c>
      <c r="G24" s="68">
        <f>'10.Grain Production details'!G78</f>
        <v>0</v>
      </c>
      <c r="H24" s="68">
        <f>'10.Grain Production details'!H78</f>
        <v>0</v>
      </c>
    </row>
    <row r="25" spans="1:8" hidden="1">
      <c r="A25" s="68">
        <f>'10.Grain Production details'!A79</f>
        <v>0</v>
      </c>
      <c r="B25" s="68">
        <f>'10.Grain Production details'!B79</f>
        <v>0</v>
      </c>
      <c r="C25" s="68">
        <f>'10.Grain Production details'!C79</f>
        <v>0</v>
      </c>
      <c r="D25" s="68">
        <f>'10.Grain Production details'!D79</f>
        <v>0</v>
      </c>
      <c r="E25" s="68">
        <f>'10.Grain Production details'!E79</f>
        <v>0</v>
      </c>
      <c r="F25" s="68">
        <f>'10.Grain Production details'!F79</f>
        <v>0</v>
      </c>
      <c r="G25" s="68">
        <f>'10.Grain Production details'!G79</f>
        <v>0</v>
      </c>
      <c r="H25" s="68">
        <f>'10.Grain Production details'!H79</f>
        <v>0</v>
      </c>
    </row>
    <row r="26" spans="1:8" hidden="1">
      <c r="A26" s="68">
        <f>'10.Grain Production details'!A80</f>
        <v>0</v>
      </c>
      <c r="B26" s="68">
        <f>'10.Grain Production details'!B80</f>
        <v>0</v>
      </c>
      <c r="C26" s="68">
        <f>'10.Grain Production details'!C80</f>
        <v>0</v>
      </c>
      <c r="D26" s="68">
        <f>'10.Grain Production details'!D80</f>
        <v>0</v>
      </c>
      <c r="E26" s="68">
        <f>'10.Grain Production details'!E80</f>
        <v>0</v>
      </c>
      <c r="F26" s="68">
        <f>'10.Grain Production details'!F80</f>
        <v>0</v>
      </c>
      <c r="G26" s="68">
        <f>'10.Grain Production details'!G80</f>
        <v>0</v>
      </c>
      <c r="H26" s="68">
        <f>'10.Grain Production details'!H80</f>
        <v>0</v>
      </c>
    </row>
    <row r="27" spans="1:8" hidden="1">
      <c r="A27" s="68">
        <f>'10.Grain Production details'!A81</f>
        <v>0</v>
      </c>
      <c r="B27" s="68">
        <f>'10.Grain Production details'!B81</f>
        <v>0</v>
      </c>
      <c r="C27" s="68">
        <f>'10.Grain Production details'!C81</f>
        <v>0</v>
      </c>
      <c r="D27" s="68">
        <f>'10.Grain Production details'!D81</f>
        <v>0</v>
      </c>
      <c r="E27" s="68">
        <f>'10.Grain Production details'!E81</f>
        <v>0</v>
      </c>
      <c r="F27" s="68">
        <f>'10.Grain Production details'!F81</f>
        <v>0</v>
      </c>
      <c r="G27" s="68">
        <f>'10.Grain Production details'!G81</f>
        <v>0</v>
      </c>
      <c r="H27" s="68">
        <f>'10.Grain Production details'!H81</f>
        <v>0</v>
      </c>
    </row>
    <row r="28" spans="1:8" hidden="1">
      <c r="A28" s="68">
        <f>'10.Grain Production details'!A82</f>
        <v>0</v>
      </c>
      <c r="B28" s="68">
        <f>'10.Grain Production details'!B82</f>
        <v>0</v>
      </c>
      <c r="C28" s="68">
        <f>'10.Grain Production details'!C82</f>
        <v>0</v>
      </c>
      <c r="D28" s="68">
        <f>'10.Grain Production details'!D82</f>
        <v>0</v>
      </c>
      <c r="E28" s="68">
        <f>'10.Grain Production details'!E82</f>
        <v>0</v>
      </c>
      <c r="F28" s="68">
        <f>'10.Grain Production details'!F82</f>
        <v>0</v>
      </c>
      <c r="G28" s="68">
        <f>'10.Grain Production details'!G82</f>
        <v>0</v>
      </c>
      <c r="H28" s="68">
        <f>'10.Grain Production details'!H82</f>
        <v>0</v>
      </c>
    </row>
    <row r="29" spans="1:8" hidden="1">
      <c r="A29" s="68">
        <f>'10.Grain Production details'!A83</f>
        <v>0</v>
      </c>
      <c r="B29" s="68">
        <f>'10.Grain Production details'!B83</f>
        <v>0</v>
      </c>
      <c r="C29" s="68">
        <f>'10.Grain Production details'!C83</f>
        <v>0</v>
      </c>
      <c r="D29" s="68">
        <f>'10.Grain Production details'!D83</f>
        <v>0</v>
      </c>
      <c r="E29" s="68">
        <f>'10.Grain Production details'!E83</f>
        <v>0</v>
      </c>
      <c r="F29" s="68">
        <f>'10.Grain Production details'!F83</f>
        <v>0</v>
      </c>
      <c r="G29" s="68">
        <f>'10.Grain Production details'!G83</f>
        <v>0</v>
      </c>
      <c r="H29" s="68">
        <f>'10.Grain Production details'!H83</f>
        <v>0</v>
      </c>
    </row>
    <row r="30" spans="1:8" hidden="1">
      <c r="A30" s="68">
        <f>'10.Grain Production details'!A84</f>
        <v>0</v>
      </c>
      <c r="B30" s="68">
        <f>'10.Grain Production details'!B84</f>
        <v>0</v>
      </c>
      <c r="C30" s="68">
        <f>'10.Grain Production details'!C84</f>
        <v>0</v>
      </c>
      <c r="D30" s="68">
        <f>'10.Grain Production details'!D84</f>
        <v>0</v>
      </c>
      <c r="E30" s="68">
        <f>'10.Grain Production details'!E84</f>
        <v>0</v>
      </c>
      <c r="F30" s="68">
        <f>'10.Grain Production details'!F84</f>
        <v>0</v>
      </c>
      <c r="G30" s="68">
        <f>'10.Grain Production details'!G84</f>
        <v>0</v>
      </c>
      <c r="H30" s="68">
        <f>'10.Grain Production details'!H84</f>
        <v>0</v>
      </c>
    </row>
    <row r="31" spans="1:8" hidden="1">
      <c r="A31" s="68">
        <f>'10.Grain Production details'!A85</f>
        <v>0</v>
      </c>
      <c r="B31" s="68">
        <f>'10.Grain Production details'!B85</f>
        <v>0</v>
      </c>
      <c r="C31" s="68">
        <f>'10.Grain Production details'!C85</f>
        <v>0</v>
      </c>
      <c r="D31" s="68">
        <f>'10.Grain Production details'!D85</f>
        <v>0</v>
      </c>
      <c r="E31" s="68">
        <f>'10.Grain Production details'!E85</f>
        <v>0</v>
      </c>
      <c r="F31" s="68">
        <f>'10.Grain Production details'!F85</f>
        <v>0</v>
      </c>
      <c r="G31" s="68">
        <f>'10.Grain Production details'!G85</f>
        <v>0</v>
      </c>
      <c r="H31" s="68">
        <f>'10.Grain Production details'!H85</f>
        <v>0</v>
      </c>
    </row>
    <row r="32" spans="1:8">
      <c r="A32" s="68" t="s">
        <v>457</v>
      </c>
      <c r="B32" s="68">
        <f>SUM(B13:B31)</f>
        <v>2079.84</v>
      </c>
      <c r="C32" s="68">
        <f t="shared" ref="C32:H32" si="1">SUM(C13:C31)</f>
        <v>2495.808</v>
      </c>
      <c r="D32" s="68">
        <f t="shared" si="1"/>
        <v>2911.7759999999994</v>
      </c>
      <c r="E32" s="68">
        <f t="shared" si="1"/>
        <v>3327.7439999999997</v>
      </c>
      <c r="F32" s="68">
        <f t="shared" si="1"/>
        <v>3743.7119999999995</v>
      </c>
      <c r="G32" s="68">
        <f t="shared" si="1"/>
        <v>4159.68</v>
      </c>
      <c r="H32" s="68">
        <f t="shared" si="1"/>
        <v>4575.648000000001</v>
      </c>
    </row>
    <row r="33" spans="1:8">
      <c r="A33" s="288" t="s">
        <v>166</v>
      </c>
      <c r="B33" s="314">
        <v>0</v>
      </c>
      <c r="C33" s="314">
        <f>B33</f>
        <v>0</v>
      </c>
      <c r="D33" s="314">
        <f t="shared" ref="D33:H33" si="2">C33</f>
        <v>0</v>
      </c>
      <c r="E33" s="314">
        <f t="shared" si="2"/>
        <v>0</v>
      </c>
      <c r="F33" s="314">
        <f t="shared" si="2"/>
        <v>0</v>
      </c>
      <c r="G33" s="314">
        <f t="shared" si="2"/>
        <v>0</v>
      </c>
      <c r="H33" s="314">
        <f t="shared" si="2"/>
        <v>0</v>
      </c>
    </row>
    <row r="34" spans="1:8">
      <c r="A34" s="288" t="s">
        <v>728</v>
      </c>
      <c r="B34" s="314">
        <v>1</v>
      </c>
      <c r="C34" s="314">
        <f t="shared" ref="C34:H34" si="3">1-C33</f>
        <v>1</v>
      </c>
      <c r="D34" s="314">
        <f t="shared" si="3"/>
        <v>1</v>
      </c>
      <c r="E34" s="314">
        <f t="shared" si="3"/>
        <v>1</v>
      </c>
      <c r="F34" s="314">
        <f t="shared" si="3"/>
        <v>1</v>
      </c>
      <c r="G34" s="314">
        <f t="shared" si="3"/>
        <v>1</v>
      </c>
      <c r="H34" s="314">
        <f t="shared" si="3"/>
        <v>1</v>
      </c>
    </row>
    <row r="35" spans="1:8">
      <c r="A35" s="291" t="s">
        <v>166</v>
      </c>
      <c r="B35" s="347">
        <f>B32*B33</f>
        <v>0</v>
      </c>
      <c r="C35" s="347">
        <f t="shared" ref="C35:H35" si="4">C32*C33</f>
        <v>0</v>
      </c>
      <c r="D35" s="347">
        <f t="shared" si="4"/>
        <v>0</v>
      </c>
      <c r="E35" s="347">
        <f t="shared" si="4"/>
        <v>0</v>
      </c>
      <c r="F35" s="347">
        <f t="shared" si="4"/>
        <v>0</v>
      </c>
      <c r="G35" s="347">
        <f t="shared" si="4"/>
        <v>0</v>
      </c>
      <c r="H35" s="347">
        <f t="shared" si="4"/>
        <v>0</v>
      </c>
    </row>
    <row r="36" spans="1:8">
      <c r="A36" s="291" t="s">
        <v>167</v>
      </c>
      <c r="B36" s="347"/>
      <c r="C36" s="347"/>
      <c r="D36" s="347"/>
      <c r="E36" s="347"/>
      <c r="F36" s="347"/>
      <c r="G36" s="347"/>
      <c r="H36" s="347"/>
    </row>
    <row r="37" spans="1:8">
      <c r="A37" s="68" t="str">
        <f t="shared" ref="A37:A55" si="5">A13</f>
        <v>Cashew Nut</v>
      </c>
      <c r="B37" s="69">
        <f>B13</f>
        <v>1995.84</v>
      </c>
      <c r="C37" s="69">
        <f t="shared" ref="C37:H38" si="6">C13</f>
        <v>2395.0079999999998</v>
      </c>
      <c r="D37" s="69">
        <f t="shared" si="6"/>
        <v>2794.1759999999995</v>
      </c>
      <c r="E37" s="69">
        <f t="shared" si="6"/>
        <v>3193.3439999999996</v>
      </c>
      <c r="F37" s="69">
        <f t="shared" si="6"/>
        <v>3592.5119999999997</v>
      </c>
      <c r="G37" s="69">
        <f t="shared" si="6"/>
        <v>3991.6800000000003</v>
      </c>
      <c r="H37" s="69">
        <f t="shared" si="6"/>
        <v>4390.8480000000009</v>
      </c>
    </row>
    <row r="38" spans="1:8">
      <c r="A38" s="68" t="str">
        <f t="shared" si="5"/>
        <v>Raw Cashew Nut</v>
      </c>
      <c r="B38" s="69">
        <f>B14</f>
        <v>84</v>
      </c>
      <c r="C38" s="69">
        <f t="shared" si="6"/>
        <v>100.8</v>
      </c>
      <c r="D38" s="69">
        <f t="shared" si="6"/>
        <v>117.6</v>
      </c>
      <c r="E38" s="69">
        <f t="shared" si="6"/>
        <v>134.4</v>
      </c>
      <c r="F38" s="69">
        <f t="shared" si="6"/>
        <v>151.20000000000002</v>
      </c>
      <c r="G38" s="69">
        <f t="shared" si="6"/>
        <v>168.00000000000003</v>
      </c>
      <c r="H38" s="69">
        <f t="shared" si="6"/>
        <v>184.80000000000004</v>
      </c>
    </row>
    <row r="39" spans="1:8" hidden="1">
      <c r="A39" s="68">
        <f t="shared" si="5"/>
        <v>0</v>
      </c>
      <c r="B39" s="69">
        <f t="shared" ref="B39:B55" si="7">B15*$B$34</f>
        <v>0</v>
      </c>
      <c r="C39" s="69">
        <f t="shared" ref="C39:C55" si="8">C15*$C$34</f>
        <v>0</v>
      </c>
      <c r="D39" s="69">
        <f t="shared" ref="D39:D55" si="9">D15*$D$34</f>
        <v>0</v>
      </c>
      <c r="E39" s="69">
        <f t="shared" ref="E39:E55" si="10">E15*$E$34</f>
        <v>0</v>
      </c>
      <c r="F39" s="69">
        <f t="shared" ref="F39:F55" si="11">F15*$F$34</f>
        <v>0</v>
      </c>
      <c r="G39" s="69">
        <f t="shared" ref="G39:G55" si="12">G15*$G$34</f>
        <v>0</v>
      </c>
      <c r="H39" s="69">
        <f t="shared" ref="H39:H55" si="13">H15*$H$34</f>
        <v>0</v>
      </c>
    </row>
    <row r="40" spans="1:8" hidden="1">
      <c r="A40" s="68">
        <f t="shared" si="5"/>
        <v>0</v>
      </c>
      <c r="B40" s="69">
        <f t="shared" si="7"/>
        <v>0</v>
      </c>
      <c r="C40" s="69">
        <f t="shared" si="8"/>
        <v>0</v>
      </c>
      <c r="D40" s="69">
        <f t="shared" si="9"/>
        <v>0</v>
      </c>
      <c r="E40" s="69">
        <f t="shared" si="10"/>
        <v>0</v>
      </c>
      <c r="F40" s="69">
        <f t="shared" si="11"/>
        <v>0</v>
      </c>
      <c r="G40" s="69">
        <f t="shared" si="12"/>
        <v>0</v>
      </c>
      <c r="H40" s="69">
        <f t="shared" si="13"/>
        <v>0</v>
      </c>
    </row>
    <row r="41" spans="1:8" hidden="1">
      <c r="A41" s="68">
        <f t="shared" si="5"/>
        <v>0</v>
      </c>
      <c r="B41" s="69">
        <f t="shared" si="7"/>
        <v>0</v>
      </c>
      <c r="C41" s="69">
        <f t="shared" si="8"/>
        <v>0</v>
      </c>
      <c r="D41" s="69">
        <f t="shared" si="9"/>
        <v>0</v>
      </c>
      <c r="E41" s="69">
        <f t="shared" si="10"/>
        <v>0</v>
      </c>
      <c r="F41" s="69">
        <f t="shared" si="11"/>
        <v>0</v>
      </c>
      <c r="G41" s="69">
        <f t="shared" si="12"/>
        <v>0</v>
      </c>
      <c r="H41" s="69">
        <f t="shared" si="13"/>
        <v>0</v>
      </c>
    </row>
    <row r="42" spans="1:8" hidden="1">
      <c r="A42" s="68">
        <f t="shared" si="5"/>
        <v>0</v>
      </c>
      <c r="B42" s="69">
        <f t="shared" si="7"/>
        <v>0</v>
      </c>
      <c r="C42" s="69">
        <f t="shared" si="8"/>
        <v>0</v>
      </c>
      <c r="D42" s="69">
        <f t="shared" si="9"/>
        <v>0</v>
      </c>
      <c r="E42" s="69">
        <f t="shared" si="10"/>
        <v>0</v>
      </c>
      <c r="F42" s="69">
        <f t="shared" si="11"/>
        <v>0</v>
      </c>
      <c r="G42" s="69">
        <f t="shared" si="12"/>
        <v>0</v>
      </c>
      <c r="H42" s="69">
        <f t="shared" si="13"/>
        <v>0</v>
      </c>
    </row>
    <row r="43" spans="1:8" hidden="1">
      <c r="A43" s="68">
        <f t="shared" si="5"/>
        <v>0</v>
      </c>
      <c r="B43" s="69">
        <f t="shared" si="7"/>
        <v>0</v>
      </c>
      <c r="C43" s="69">
        <f t="shared" si="8"/>
        <v>0</v>
      </c>
      <c r="D43" s="69">
        <f t="shared" si="9"/>
        <v>0</v>
      </c>
      <c r="E43" s="69">
        <f t="shared" si="10"/>
        <v>0</v>
      </c>
      <c r="F43" s="69">
        <f t="shared" si="11"/>
        <v>0</v>
      </c>
      <c r="G43" s="69">
        <f t="shared" si="12"/>
        <v>0</v>
      </c>
      <c r="H43" s="69">
        <f t="shared" si="13"/>
        <v>0</v>
      </c>
    </row>
    <row r="44" spans="1:8" hidden="1">
      <c r="A44" s="68">
        <f t="shared" si="5"/>
        <v>0</v>
      </c>
      <c r="B44" s="69">
        <f t="shared" si="7"/>
        <v>0</v>
      </c>
      <c r="C44" s="69">
        <f t="shared" si="8"/>
        <v>0</v>
      </c>
      <c r="D44" s="69">
        <f t="shared" si="9"/>
        <v>0</v>
      </c>
      <c r="E44" s="69">
        <f t="shared" si="10"/>
        <v>0</v>
      </c>
      <c r="F44" s="69">
        <f t="shared" si="11"/>
        <v>0</v>
      </c>
      <c r="G44" s="69">
        <f t="shared" si="12"/>
        <v>0</v>
      </c>
      <c r="H44" s="69">
        <f t="shared" si="13"/>
        <v>0</v>
      </c>
    </row>
    <row r="45" spans="1:8" hidden="1">
      <c r="A45" s="68">
        <f t="shared" si="5"/>
        <v>0</v>
      </c>
      <c r="B45" s="69">
        <f t="shared" si="7"/>
        <v>0</v>
      </c>
      <c r="C45" s="69">
        <f t="shared" si="8"/>
        <v>0</v>
      </c>
      <c r="D45" s="69">
        <f t="shared" si="9"/>
        <v>0</v>
      </c>
      <c r="E45" s="69">
        <f t="shared" si="10"/>
        <v>0</v>
      </c>
      <c r="F45" s="69">
        <f t="shared" si="11"/>
        <v>0</v>
      </c>
      <c r="G45" s="69">
        <f t="shared" si="12"/>
        <v>0</v>
      </c>
      <c r="H45" s="69">
        <f t="shared" si="13"/>
        <v>0</v>
      </c>
    </row>
    <row r="46" spans="1:8" hidden="1">
      <c r="A46" s="68">
        <f t="shared" si="5"/>
        <v>0</v>
      </c>
      <c r="B46" s="69">
        <f t="shared" si="7"/>
        <v>0</v>
      </c>
      <c r="C46" s="69">
        <f t="shared" si="8"/>
        <v>0</v>
      </c>
      <c r="D46" s="69">
        <f t="shared" si="9"/>
        <v>0</v>
      </c>
      <c r="E46" s="69">
        <f t="shared" si="10"/>
        <v>0</v>
      </c>
      <c r="F46" s="69">
        <f t="shared" si="11"/>
        <v>0</v>
      </c>
      <c r="G46" s="69">
        <f t="shared" si="12"/>
        <v>0</v>
      </c>
      <c r="H46" s="69">
        <f t="shared" si="13"/>
        <v>0</v>
      </c>
    </row>
    <row r="47" spans="1:8" hidden="1">
      <c r="A47" s="68">
        <f t="shared" si="5"/>
        <v>0</v>
      </c>
      <c r="B47" s="69">
        <f t="shared" si="7"/>
        <v>0</v>
      </c>
      <c r="C47" s="69">
        <f t="shared" si="8"/>
        <v>0</v>
      </c>
      <c r="D47" s="69">
        <f t="shared" si="9"/>
        <v>0</v>
      </c>
      <c r="E47" s="69">
        <f t="shared" si="10"/>
        <v>0</v>
      </c>
      <c r="F47" s="69">
        <f t="shared" si="11"/>
        <v>0</v>
      </c>
      <c r="G47" s="69">
        <f t="shared" si="12"/>
        <v>0</v>
      </c>
      <c r="H47" s="69">
        <f t="shared" si="13"/>
        <v>0</v>
      </c>
    </row>
    <row r="48" spans="1:8" hidden="1">
      <c r="A48" s="68">
        <f t="shared" si="5"/>
        <v>0</v>
      </c>
      <c r="B48" s="69">
        <f t="shared" si="7"/>
        <v>0</v>
      </c>
      <c r="C48" s="69">
        <f t="shared" si="8"/>
        <v>0</v>
      </c>
      <c r="D48" s="69">
        <f t="shared" si="9"/>
        <v>0</v>
      </c>
      <c r="E48" s="69">
        <f t="shared" si="10"/>
        <v>0</v>
      </c>
      <c r="F48" s="69">
        <f t="shared" si="11"/>
        <v>0</v>
      </c>
      <c r="G48" s="69">
        <f t="shared" si="12"/>
        <v>0</v>
      </c>
      <c r="H48" s="69">
        <f t="shared" si="13"/>
        <v>0</v>
      </c>
    </row>
    <row r="49" spans="1:15" hidden="1">
      <c r="A49" s="68">
        <f t="shared" si="5"/>
        <v>0</v>
      </c>
      <c r="B49" s="69">
        <f t="shared" si="7"/>
        <v>0</v>
      </c>
      <c r="C49" s="69">
        <f t="shared" si="8"/>
        <v>0</v>
      </c>
      <c r="D49" s="69">
        <f t="shared" si="9"/>
        <v>0</v>
      </c>
      <c r="E49" s="69">
        <f t="shared" si="10"/>
        <v>0</v>
      </c>
      <c r="F49" s="69">
        <f t="shared" si="11"/>
        <v>0</v>
      </c>
      <c r="G49" s="69">
        <f t="shared" si="12"/>
        <v>0</v>
      </c>
      <c r="H49" s="69">
        <f t="shared" si="13"/>
        <v>0</v>
      </c>
    </row>
    <row r="50" spans="1:15" hidden="1">
      <c r="A50" s="68">
        <f t="shared" si="5"/>
        <v>0</v>
      </c>
      <c r="B50" s="69">
        <f t="shared" si="7"/>
        <v>0</v>
      </c>
      <c r="C50" s="69">
        <f t="shared" si="8"/>
        <v>0</v>
      </c>
      <c r="D50" s="69">
        <f t="shared" si="9"/>
        <v>0</v>
      </c>
      <c r="E50" s="69">
        <f t="shared" si="10"/>
        <v>0</v>
      </c>
      <c r="F50" s="69">
        <f t="shared" si="11"/>
        <v>0</v>
      </c>
      <c r="G50" s="69">
        <f t="shared" si="12"/>
        <v>0</v>
      </c>
      <c r="H50" s="69">
        <f t="shared" si="13"/>
        <v>0</v>
      </c>
    </row>
    <row r="51" spans="1:15" hidden="1">
      <c r="A51" s="68">
        <f t="shared" si="5"/>
        <v>0</v>
      </c>
      <c r="B51" s="69">
        <f t="shared" si="7"/>
        <v>0</v>
      </c>
      <c r="C51" s="69">
        <f t="shared" si="8"/>
        <v>0</v>
      </c>
      <c r="D51" s="69">
        <f t="shared" si="9"/>
        <v>0</v>
      </c>
      <c r="E51" s="69">
        <f t="shared" si="10"/>
        <v>0</v>
      </c>
      <c r="F51" s="69">
        <f t="shared" si="11"/>
        <v>0</v>
      </c>
      <c r="G51" s="69">
        <f t="shared" si="12"/>
        <v>0</v>
      </c>
      <c r="H51" s="69">
        <f t="shared" si="13"/>
        <v>0</v>
      </c>
    </row>
    <row r="52" spans="1:15" hidden="1">
      <c r="A52" s="68">
        <f t="shared" si="5"/>
        <v>0</v>
      </c>
      <c r="B52" s="69">
        <f t="shared" si="7"/>
        <v>0</v>
      </c>
      <c r="C52" s="69">
        <f t="shared" si="8"/>
        <v>0</v>
      </c>
      <c r="D52" s="69">
        <f t="shared" si="9"/>
        <v>0</v>
      </c>
      <c r="E52" s="69">
        <f t="shared" si="10"/>
        <v>0</v>
      </c>
      <c r="F52" s="69">
        <f t="shared" si="11"/>
        <v>0</v>
      </c>
      <c r="G52" s="69">
        <f t="shared" si="12"/>
        <v>0</v>
      </c>
      <c r="H52" s="69">
        <f t="shared" si="13"/>
        <v>0</v>
      </c>
    </row>
    <row r="53" spans="1:15" hidden="1">
      <c r="A53" s="68">
        <f t="shared" si="5"/>
        <v>0</v>
      </c>
      <c r="B53" s="69">
        <f t="shared" si="7"/>
        <v>0</v>
      </c>
      <c r="C53" s="69">
        <f t="shared" si="8"/>
        <v>0</v>
      </c>
      <c r="D53" s="69">
        <f t="shared" si="9"/>
        <v>0</v>
      </c>
      <c r="E53" s="69">
        <f t="shared" si="10"/>
        <v>0</v>
      </c>
      <c r="F53" s="69">
        <f t="shared" si="11"/>
        <v>0</v>
      </c>
      <c r="G53" s="69">
        <f t="shared" si="12"/>
        <v>0</v>
      </c>
      <c r="H53" s="69">
        <f t="shared" si="13"/>
        <v>0</v>
      </c>
    </row>
    <row r="54" spans="1:15" hidden="1">
      <c r="A54" s="68">
        <f t="shared" si="5"/>
        <v>0</v>
      </c>
      <c r="B54" s="69">
        <f t="shared" si="7"/>
        <v>0</v>
      </c>
      <c r="C54" s="69">
        <f t="shared" si="8"/>
        <v>0</v>
      </c>
      <c r="D54" s="69">
        <f t="shared" si="9"/>
        <v>0</v>
      </c>
      <c r="E54" s="69">
        <f t="shared" si="10"/>
        <v>0</v>
      </c>
      <c r="F54" s="69">
        <f t="shared" si="11"/>
        <v>0</v>
      </c>
      <c r="G54" s="69">
        <f t="shared" si="12"/>
        <v>0</v>
      </c>
      <c r="H54" s="69">
        <f t="shared" si="13"/>
        <v>0</v>
      </c>
    </row>
    <row r="55" spans="1:15" hidden="1">
      <c r="A55" s="68">
        <f t="shared" si="5"/>
        <v>0</v>
      </c>
      <c r="B55" s="69">
        <f t="shared" si="7"/>
        <v>0</v>
      </c>
      <c r="C55" s="69">
        <f t="shared" si="8"/>
        <v>0</v>
      </c>
      <c r="D55" s="69">
        <f t="shared" si="9"/>
        <v>0</v>
      </c>
      <c r="E55" s="69">
        <f t="shared" si="10"/>
        <v>0</v>
      </c>
      <c r="F55" s="69">
        <f t="shared" si="11"/>
        <v>0</v>
      </c>
      <c r="G55" s="69">
        <f t="shared" si="12"/>
        <v>0</v>
      </c>
      <c r="H55" s="69">
        <f t="shared" si="13"/>
        <v>0</v>
      </c>
    </row>
    <row r="56" spans="1:15">
      <c r="A56" s="68"/>
      <c r="B56" s="68"/>
      <c r="C56" s="68"/>
      <c r="D56" s="68"/>
      <c r="E56" s="68"/>
      <c r="F56" s="68"/>
      <c r="G56" s="68"/>
      <c r="H56" s="68"/>
    </row>
    <row r="57" spans="1:15">
      <c r="A57" s="70" t="s">
        <v>727</v>
      </c>
      <c r="B57" s="68"/>
      <c r="C57" s="68"/>
      <c r="D57" s="68"/>
      <c r="E57" s="68"/>
      <c r="F57" s="68"/>
      <c r="G57" s="68"/>
      <c r="H57" s="68"/>
    </row>
    <row r="58" spans="1:15">
      <c r="A58" s="70" t="str">
        <f>A37</f>
        <v>Cashew Nut</v>
      </c>
      <c r="B58" s="68"/>
      <c r="C58" s="68"/>
      <c r="D58" s="68"/>
      <c r="E58" s="68"/>
      <c r="F58" s="68"/>
      <c r="G58" s="68"/>
      <c r="H58" s="68"/>
    </row>
    <row r="59" spans="1:15">
      <c r="A59" s="68" t="s">
        <v>711</v>
      </c>
      <c r="B59" s="157">
        <f>B37*21.5%</f>
        <v>429.10559999999998</v>
      </c>
      <c r="C59" s="157">
        <f t="shared" ref="C59:H59" si="14">C37*21.5%</f>
        <v>514.92671999999993</v>
      </c>
      <c r="D59" s="157">
        <f t="shared" si="14"/>
        <v>600.74783999999988</v>
      </c>
      <c r="E59" s="157">
        <f t="shared" si="14"/>
        <v>686.56895999999995</v>
      </c>
      <c r="F59" s="157">
        <f t="shared" si="14"/>
        <v>772.3900799999999</v>
      </c>
      <c r="G59" s="157">
        <f t="shared" si="14"/>
        <v>858.21120000000008</v>
      </c>
      <c r="H59" s="157">
        <f t="shared" si="14"/>
        <v>944.03232000000014</v>
      </c>
      <c r="K59" s="20">
        <f>B59+B62</f>
        <v>447.16559999999998</v>
      </c>
      <c r="L59" s="20">
        <f>K59*100</f>
        <v>44716.56</v>
      </c>
      <c r="M59" s="20">
        <f>L59*2</f>
        <v>89433.12</v>
      </c>
      <c r="N59" s="20">
        <f>M59*3500</f>
        <v>313015920</v>
      </c>
      <c r="O59" s="20"/>
    </row>
    <row r="60" spans="1:15">
      <c r="A60" s="68" t="s">
        <v>712</v>
      </c>
      <c r="B60" s="157">
        <f>B37*65%</f>
        <v>1297.296</v>
      </c>
      <c r="C60" s="157">
        <f t="shared" ref="C60:H60" si="15">C37*65%</f>
        <v>1556.7551999999998</v>
      </c>
      <c r="D60" s="157">
        <f t="shared" si="15"/>
        <v>1816.2143999999996</v>
      </c>
      <c r="E60" s="157">
        <f t="shared" si="15"/>
        <v>2075.6735999999996</v>
      </c>
      <c r="F60" s="157">
        <f t="shared" si="15"/>
        <v>2335.1327999999999</v>
      </c>
      <c r="G60" s="157">
        <f t="shared" si="15"/>
        <v>2594.5920000000001</v>
      </c>
      <c r="H60" s="157">
        <f t="shared" si="15"/>
        <v>2854.0512000000008</v>
      </c>
      <c r="K60" s="20">
        <f>K59*50%</f>
        <v>223.58279999999999</v>
      </c>
    </row>
    <row r="61" spans="1:15">
      <c r="A61" s="70" t="str">
        <f>A38</f>
        <v>Raw Cashew Nut</v>
      </c>
      <c r="B61" s="68"/>
      <c r="C61" s="68"/>
      <c r="D61" s="68"/>
      <c r="E61" s="68"/>
      <c r="F61" s="68"/>
      <c r="G61" s="68"/>
      <c r="H61" s="68"/>
      <c r="K61" s="20">
        <f>K60*100</f>
        <v>22358.28</v>
      </c>
    </row>
    <row r="62" spans="1:15">
      <c r="A62" s="68" t="str">
        <f>A59</f>
        <v>Cashew Karnel</v>
      </c>
      <c r="B62" s="148">
        <f>B38*21.5%</f>
        <v>18.059999999999999</v>
      </c>
      <c r="C62" s="148">
        <f t="shared" ref="C62:H62" si="16">C38*21.5%</f>
        <v>21.672000000000001</v>
      </c>
      <c r="D62" s="148">
        <f t="shared" si="16"/>
        <v>25.283999999999999</v>
      </c>
      <c r="E62" s="148">
        <f t="shared" si="16"/>
        <v>28.896000000000001</v>
      </c>
      <c r="F62" s="148">
        <f t="shared" si="16"/>
        <v>32.508000000000003</v>
      </c>
      <c r="G62" s="148">
        <f t="shared" si="16"/>
        <v>36.120000000000005</v>
      </c>
      <c r="H62" s="148">
        <f t="shared" si="16"/>
        <v>39.732000000000006</v>
      </c>
      <c r="K62" s="20">
        <f>K61*2</f>
        <v>44716.56</v>
      </c>
    </row>
    <row r="63" spans="1:15">
      <c r="A63" s="68" t="str">
        <f>A60</f>
        <v>Cashew Shell</v>
      </c>
      <c r="B63" s="148">
        <f>B38*65%</f>
        <v>54.6</v>
      </c>
      <c r="C63" s="148">
        <f t="shared" ref="C63:H63" si="17">C38*65%</f>
        <v>65.52</v>
      </c>
      <c r="D63" s="148">
        <f t="shared" si="17"/>
        <v>76.44</v>
      </c>
      <c r="E63" s="148">
        <f t="shared" si="17"/>
        <v>87.360000000000014</v>
      </c>
      <c r="F63" s="148">
        <f t="shared" si="17"/>
        <v>98.280000000000015</v>
      </c>
      <c r="G63" s="148">
        <f t="shared" si="17"/>
        <v>109.20000000000002</v>
      </c>
      <c r="H63" s="148">
        <f t="shared" si="17"/>
        <v>120.12000000000003</v>
      </c>
    </row>
    <row r="64" spans="1:15">
      <c r="A64" s="68"/>
      <c r="B64" s="148"/>
      <c r="C64" s="148"/>
      <c r="D64" s="148"/>
      <c r="E64" s="148"/>
      <c r="F64" s="148"/>
      <c r="G64" s="148"/>
      <c r="H64" s="148"/>
    </row>
    <row r="65" spans="1:8" hidden="1">
      <c r="A65" s="68"/>
      <c r="B65" s="148"/>
      <c r="C65" s="148"/>
      <c r="D65" s="148"/>
      <c r="E65" s="148"/>
      <c r="F65" s="148"/>
      <c r="G65" s="148"/>
      <c r="H65" s="148"/>
    </row>
    <row r="66" spans="1:8" hidden="1">
      <c r="A66" s="68"/>
      <c r="B66" s="69"/>
      <c r="C66" s="69"/>
      <c r="D66" s="69"/>
      <c r="E66" s="69"/>
      <c r="F66" s="69"/>
      <c r="G66" s="69"/>
      <c r="H66" s="69"/>
    </row>
    <row r="67" spans="1:8" hidden="1">
      <c r="A67" s="68"/>
      <c r="B67" s="69"/>
      <c r="C67" s="69"/>
      <c r="D67" s="69"/>
      <c r="E67" s="69"/>
      <c r="F67" s="69"/>
      <c r="G67" s="69"/>
      <c r="H67" s="69"/>
    </row>
    <row r="68" spans="1:8" hidden="1">
      <c r="A68" s="68"/>
      <c r="B68" s="69"/>
      <c r="C68" s="69"/>
      <c r="D68" s="69"/>
      <c r="E68" s="69"/>
      <c r="F68" s="69"/>
      <c r="G68" s="69"/>
      <c r="H68" s="69"/>
    </row>
    <row r="69" spans="1:8" hidden="1">
      <c r="A69" s="68"/>
      <c r="B69" s="69"/>
      <c r="C69" s="69"/>
      <c r="D69" s="69"/>
      <c r="E69" s="69"/>
      <c r="F69" s="69"/>
      <c r="G69" s="69"/>
      <c r="H69" s="69"/>
    </row>
    <row r="70" spans="1:8" hidden="1">
      <c r="A70" s="68">
        <f>A40</f>
        <v>0</v>
      </c>
      <c r="B70" s="69"/>
      <c r="C70" s="69"/>
      <c r="D70" s="69"/>
      <c r="E70" s="69"/>
      <c r="F70" s="69"/>
      <c r="G70" s="69"/>
      <c r="H70" s="69"/>
    </row>
    <row r="71" spans="1:8" hidden="1">
      <c r="A71" s="68" t="s">
        <v>458</v>
      </c>
      <c r="B71" s="69">
        <f>B40*80%</f>
        <v>0</v>
      </c>
      <c r="C71" s="69">
        <f t="shared" ref="C71:H71" si="18">C40*80%</f>
        <v>0</v>
      </c>
      <c r="D71" s="69">
        <f t="shared" si="18"/>
        <v>0</v>
      </c>
      <c r="E71" s="69">
        <f t="shared" si="18"/>
        <v>0</v>
      </c>
      <c r="F71" s="69">
        <f t="shared" si="18"/>
        <v>0</v>
      </c>
      <c r="G71" s="69">
        <f t="shared" si="18"/>
        <v>0</v>
      </c>
      <c r="H71" s="69">
        <f t="shared" si="18"/>
        <v>0</v>
      </c>
    </row>
    <row r="72" spans="1:8" hidden="1">
      <c r="A72" s="68" t="s">
        <v>141</v>
      </c>
      <c r="B72" s="69">
        <f>B40*20%</f>
        <v>0</v>
      </c>
      <c r="C72" s="69">
        <f t="shared" ref="C72:H72" si="19">C40*20%</f>
        <v>0</v>
      </c>
      <c r="D72" s="69">
        <f t="shared" si="19"/>
        <v>0</v>
      </c>
      <c r="E72" s="69">
        <f t="shared" si="19"/>
        <v>0</v>
      </c>
      <c r="F72" s="69">
        <f t="shared" si="19"/>
        <v>0</v>
      </c>
      <c r="G72" s="69">
        <f t="shared" si="19"/>
        <v>0</v>
      </c>
      <c r="H72" s="69">
        <f t="shared" si="19"/>
        <v>0</v>
      </c>
    </row>
    <row r="73" spans="1:8" hidden="1">
      <c r="A73" s="68">
        <f>A41</f>
        <v>0</v>
      </c>
      <c r="B73" s="69"/>
      <c r="C73" s="69"/>
      <c r="D73" s="69"/>
      <c r="E73" s="69"/>
      <c r="F73" s="69"/>
      <c r="G73" s="69"/>
      <c r="H73" s="69"/>
    </row>
    <row r="74" spans="1:8" hidden="1">
      <c r="A74" s="68"/>
      <c r="B74" s="69"/>
      <c r="C74" s="69"/>
      <c r="D74" s="69"/>
      <c r="E74" s="69"/>
      <c r="F74" s="69"/>
      <c r="G74" s="69"/>
      <c r="H74" s="69"/>
    </row>
    <row r="75" spans="1:8" hidden="1">
      <c r="A75" s="68"/>
      <c r="B75" s="69"/>
      <c r="C75" s="69"/>
      <c r="D75" s="69"/>
      <c r="E75" s="69"/>
      <c r="F75" s="69"/>
      <c r="G75" s="69"/>
      <c r="H75" s="69"/>
    </row>
    <row r="76" spans="1:8" hidden="1">
      <c r="A76" s="68"/>
      <c r="B76" s="69"/>
      <c r="C76" s="69"/>
      <c r="D76" s="69"/>
      <c r="E76" s="69"/>
      <c r="F76" s="69"/>
      <c r="G76" s="69"/>
      <c r="H76" s="69"/>
    </row>
    <row r="77" spans="1:8" hidden="1">
      <c r="A77" s="68"/>
      <c r="B77" s="69"/>
      <c r="C77" s="69"/>
      <c r="D77" s="69"/>
      <c r="E77" s="69"/>
      <c r="F77" s="69"/>
      <c r="G77" s="69"/>
      <c r="H77" s="69"/>
    </row>
    <row r="78" spans="1:8" hidden="1">
      <c r="A78" s="68">
        <f>A42</f>
        <v>0</v>
      </c>
      <c r="B78" s="69"/>
      <c r="C78" s="69"/>
      <c r="D78" s="69"/>
      <c r="E78" s="69"/>
      <c r="F78" s="69"/>
      <c r="G78" s="69"/>
      <c r="H78" s="69"/>
    </row>
    <row r="79" spans="1:8" hidden="1">
      <c r="A79" s="68" t="s">
        <v>458</v>
      </c>
      <c r="B79" s="69">
        <f t="shared" ref="B79:H79" si="20">B42*80%</f>
        <v>0</v>
      </c>
      <c r="C79" s="69">
        <f t="shared" si="20"/>
        <v>0</v>
      </c>
      <c r="D79" s="69">
        <f t="shared" si="20"/>
        <v>0</v>
      </c>
      <c r="E79" s="69">
        <f t="shared" si="20"/>
        <v>0</v>
      </c>
      <c r="F79" s="69">
        <f t="shared" si="20"/>
        <v>0</v>
      </c>
      <c r="G79" s="69">
        <f t="shared" si="20"/>
        <v>0</v>
      </c>
      <c r="H79" s="69">
        <f t="shared" si="20"/>
        <v>0</v>
      </c>
    </row>
    <row r="80" spans="1:8" hidden="1">
      <c r="A80" s="68" t="s">
        <v>141</v>
      </c>
      <c r="B80" s="69">
        <f t="shared" ref="B80:H80" si="21">B42*20%</f>
        <v>0</v>
      </c>
      <c r="C80" s="69">
        <f t="shared" si="21"/>
        <v>0</v>
      </c>
      <c r="D80" s="69">
        <f t="shared" si="21"/>
        <v>0</v>
      </c>
      <c r="E80" s="69">
        <f t="shared" si="21"/>
        <v>0</v>
      </c>
      <c r="F80" s="69">
        <f t="shared" si="21"/>
        <v>0</v>
      </c>
      <c r="G80" s="69">
        <f t="shared" si="21"/>
        <v>0</v>
      </c>
      <c r="H80" s="69">
        <f t="shared" si="21"/>
        <v>0</v>
      </c>
    </row>
    <row r="81" spans="1:8" hidden="1">
      <c r="A81" s="68">
        <f>A43</f>
        <v>0</v>
      </c>
      <c r="B81" s="69"/>
      <c r="C81" s="69"/>
      <c r="D81" s="69"/>
      <c r="E81" s="69"/>
      <c r="F81" s="69"/>
      <c r="G81" s="69"/>
      <c r="H81" s="69"/>
    </row>
    <row r="82" spans="1:8" hidden="1">
      <c r="A82" s="68"/>
      <c r="B82" s="69"/>
      <c r="C82" s="69"/>
      <c r="D82" s="69"/>
      <c r="E82" s="69"/>
      <c r="F82" s="69"/>
      <c r="G82" s="69"/>
      <c r="H82" s="69"/>
    </row>
    <row r="83" spans="1:8" hidden="1">
      <c r="A83" s="68"/>
      <c r="B83" s="69"/>
      <c r="C83" s="69"/>
      <c r="D83" s="69"/>
      <c r="E83" s="69"/>
      <c r="F83" s="69"/>
      <c r="G83" s="69"/>
      <c r="H83" s="69"/>
    </row>
    <row r="84" spans="1:8" hidden="1">
      <c r="A84" s="68">
        <f>A44</f>
        <v>0</v>
      </c>
      <c r="B84" s="69"/>
      <c r="C84" s="69"/>
      <c r="D84" s="69"/>
      <c r="E84" s="69"/>
      <c r="F84" s="69"/>
      <c r="G84" s="69"/>
      <c r="H84" s="69"/>
    </row>
    <row r="85" spans="1:8" hidden="1">
      <c r="A85" s="68"/>
      <c r="B85" s="69"/>
      <c r="C85" s="69"/>
      <c r="D85" s="69"/>
      <c r="E85" s="69"/>
      <c r="F85" s="69"/>
      <c r="G85" s="69"/>
      <c r="H85" s="69"/>
    </row>
    <row r="86" spans="1:8" hidden="1">
      <c r="A86" s="68"/>
      <c r="B86" s="69"/>
      <c r="C86" s="69"/>
      <c r="D86" s="69"/>
      <c r="E86" s="69"/>
      <c r="F86" s="69"/>
      <c r="G86" s="69"/>
      <c r="H86" s="69"/>
    </row>
    <row r="87" spans="1:8" hidden="1">
      <c r="A87" s="68"/>
      <c r="B87" s="69"/>
      <c r="C87" s="69"/>
      <c r="D87" s="69"/>
      <c r="E87" s="69"/>
      <c r="F87" s="69"/>
      <c r="G87" s="69"/>
      <c r="H87" s="69"/>
    </row>
    <row r="88" spans="1:8" hidden="1">
      <c r="A88" s="68">
        <f>A45</f>
        <v>0</v>
      </c>
      <c r="B88" s="69"/>
      <c r="C88" s="69"/>
      <c r="D88" s="69"/>
      <c r="E88" s="69"/>
      <c r="F88" s="69"/>
      <c r="G88" s="69"/>
      <c r="H88" s="69"/>
    </row>
    <row r="89" spans="1:8" hidden="1">
      <c r="A89" s="68"/>
      <c r="B89" s="69"/>
      <c r="C89" s="69"/>
      <c r="D89" s="69"/>
      <c r="E89" s="69"/>
      <c r="F89" s="69"/>
      <c r="G89" s="69"/>
      <c r="H89" s="69"/>
    </row>
    <row r="90" spans="1:8" hidden="1">
      <c r="A90" s="68"/>
      <c r="B90" s="69"/>
      <c r="C90" s="69"/>
      <c r="D90" s="69"/>
      <c r="E90" s="69"/>
      <c r="F90" s="69"/>
      <c r="G90" s="69"/>
      <c r="H90" s="69"/>
    </row>
    <row r="91" spans="1:8" hidden="1">
      <c r="A91" s="68"/>
      <c r="B91" s="69"/>
      <c r="C91" s="69"/>
      <c r="D91" s="69"/>
      <c r="E91" s="69"/>
      <c r="F91" s="69"/>
      <c r="G91" s="69"/>
      <c r="H91" s="69"/>
    </row>
    <row r="92" spans="1:8" hidden="1">
      <c r="A92" s="68">
        <f>A46</f>
        <v>0</v>
      </c>
      <c r="B92" s="69"/>
      <c r="C92" s="69"/>
      <c r="D92" s="69"/>
      <c r="E92" s="69"/>
      <c r="F92" s="69"/>
      <c r="G92" s="69"/>
      <c r="H92" s="69"/>
    </row>
    <row r="93" spans="1:8" hidden="1">
      <c r="A93" s="68"/>
      <c r="B93" s="69"/>
      <c r="C93" s="69"/>
      <c r="D93" s="69"/>
      <c r="E93" s="69"/>
      <c r="F93" s="69"/>
      <c r="G93" s="69"/>
      <c r="H93" s="69"/>
    </row>
    <row r="94" spans="1:8" hidden="1">
      <c r="A94" s="68"/>
      <c r="B94" s="69"/>
      <c r="C94" s="69"/>
      <c r="D94" s="69"/>
      <c r="E94" s="69"/>
      <c r="F94" s="69"/>
      <c r="G94" s="69"/>
      <c r="H94" s="69"/>
    </row>
    <row r="95" spans="1:8" hidden="1">
      <c r="A95" s="68">
        <f>A47</f>
        <v>0</v>
      </c>
      <c r="B95" s="69"/>
      <c r="C95" s="69"/>
      <c r="D95" s="69"/>
      <c r="E95" s="69"/>
      <c r="F95" s="69"/>
      <c r="G95" s="69"/>
      <c r="H95" s="69"/>
    </row>
    <row r="96" spans="1:8" hidden="1">
      <c r="A96" s="68" t="s">
        <v>458</v>
      </c>
      <c r="B96" s="69">
        <f t="shared" ref="B96:H96" si="22">B47*80%</f>
        <v>0</v>
      </c>
      <c r="C96" s="69">
        <f t="shared" si="22"/>
        <v>0</v>
      </c>
      <c r="D96" s="69">
        <f t="shared" si="22"/>
        <v>0</v>
      </c>
      <c r="E96" s="69">
        <f t="shared" si="22"/>
        <v>0</v>
      </c>
      <c r="F96" s="69">
        <f t="shared" si="22"/>
        <v>0</v>
      </c>
      <c r="G96" s="69">
        <f t="shared" si="22"/>
        <v>0</v>
      </c>
      <c r="H96" s="69">
        <f t="shared" si="22"/>
        <v>0</v>
      </c>
    </row>
    <row r="97" spans="1:8" hidden="1">
      <c r="A97" s="68" t="s">
        <v>141</v>
      </c>
      <c r="B97" s="69">
        <f t="shared" ref="B97:H97" si="23">B47*20%</f>
        <v>0</v>
      </c>
      <c r="C97" s="69">
        <f t="shared" si="23"/>
        <v>0</v>
      </c>
      <c r="D97" s="69">
        <f t="shared" si="23"/>
        <v>0</v>
      </c>
      <c r="E97" s="69">
        <f t="shared" si="23"/>
        <v>0</v>
      </c>
      <c r="F97" s="69">
        <f t="shared" si="23"/>
        <v>0</v>
      </c>
      <c r="G97" s="69">
        <f t="shared" si="23"/>
        <v>0</v>
      </c>
      <c r="H97" s="69">
        <f t="shared" si="23"/>
        <v>0</v>
      </c>
    </row>
    <row r="98" spans="1:8" hidden="1">
      <c r="A98" s="68">
        <f>A48</f>
        <v>0</v>
      </c>
      <c r="B98" s="69"/>
      <c r="C98" s="69"/>
      <c r="D98" s="69"/>
      <c r="E98" s="69"/>
      <c r="F98" s="69"/>
      <c r="G98" s="69"/>
      <c r="H98" s="69"/>
    </row>
    <row r="99" spans="1:8" hidden="1">
      <c r="A99" s="68"/>
      <c r="B99" s="69"/>
      <c r="C99" s="69"/>
      <c r="D99" s="69"/>
      <c r="E99" s="69"/>
      <c r="F99" s="69"/>
      <c r="G99" s="69"/>
      <c r="H99" s="69"/>
    </row>
    <row r="100" spans="1:8" hidden="1">
      <c r="A100" s="68"/>
      <c r="B100" s="69"/>
      <c r="C100" s="69"/>
      <c r="D100" s="69"/>
      <c r="E100" s="69"/>
      <c r="F100" s="69"/>
      <c r="G100" s="69"/>
      <c r="H100" s="69"/>
    </row>
    <row r="101" spans="1:8" hidden="1">
      <c r="A101" s="68">
        <f>A49</f>
        <v>0</v>
      </c>
      <c r="B101" s="69"/>
      <c r="C101" s="69"/>
      <c r="D101" s="69"/>
      <c r="E101" s="69"/>
      <c r="F101" s="69"/>
      <c r="G101" s="69"/>
      <c r="H101" s="69"/>
    </row>
    <row r="102" spans="1:8" hidden="1">
      <c r="A102" s="68"/>
      <c r="B102" s="69"/>
      <c r="C102" s="69"/>
      <c r="D102" s="69"/>
      <c r="E102" s="69"/>
      <c r="F102" s="69"/>
      <c r="G102" s="69"/>
      <c r="H102" s="69"/>
    </row>
    <row r="103" spans="1:8" hidden="1">
      <c r="A103" s="68"/>
      <c r="B103" s="69"/>
      <c r="C103" s="69"/>
      <c r="D103" s="69"/>
      <c r="E103" s="69"/>
      <c r="F103" s="69"/>
      <c r="G103" s="69"/>
      <c r="H103" s="69"/>
    </row>
    <row r="104" spans="1:8" hidden="1">
      <c r="A104" s="68">
        <f>A50</f>
        <v>0</v>
      </c>
      <c r="B104" s="69"/>
      <c r="C104" s="69"/>
      <c r="D104" s="69"/>
      <c r="E104" s="69"/>
      <c r="F104" s="69"/>
      <c r="G104" s="69"/>
      <c r="H104" s="69"/>
    </row>
    <row r="105" spans="1:8" hidden="1">
      <c r="A105" s="68"/>
      <c r="B105" s="69"/>
      <c r="C105" s="69"/>
      <c r="D105" s="69"/>
      <c r="E105" s="69"/>
      <c r="F105" s="69"/>
      <c r="G105" s="69"/>
      <c r="H105" s="69"/>
    </row>
    <row r="106" spans="1:8" hidden="1">
      <c r="A106" s="68"/>
      <c r="B106" s="69"/>
      <c r="C106" s="69"/>
      <c r="D106" s="69"/>
      <c r="E106" s="69"/>
      <c r="F106" s="69"/>
      <c r="G106" s="69"/>
      <c r="H106" s="69"/>
    </row>
    <row r="107" spans="1:8" hidden="1">
      <c r="A107" s="68">
        <f>A51</f>
        <v>0</v>
      </c>
      <c r="B107" s="69"/>
      <c r="C107" s="69"/>
      <c r="D107" s="69"/>
      <c r="E107" s="69"/>
      <c r="F107" s="69"/>
      <c r="G107" s="69"/>
      <c r="H107" s="69"/>
    </row>
    <row r="108" spans="1:8" hidden="1">
      <c r="A108" s="68"/>
      <c r="B108" s="69"/>
      <c r="C108" s="69"/>
      <c r="D108" s="69"/>
      <c r="E108" s="69"/>
      <c r="F108" s="69"/>
      <c r="G108" s="69"/>
      <c r="H108" s="69"/>
    </row>
    <row r="109" spans="1:8" hidden="1">
      <c r="A109" s="68"/>
      <c r="B109" s="69"/>
      <c r="C109" s="69"/>
      <c r="D109" s="69"/>
      <c r="E109" s="69"/>
      <c r="F109" s="69"/>
      <c r="G109" s="69"/>
      <c r="H109" s="69"/>
    </row>
    <row r="110" spans="1:8" hidden="1">
      <c r="A110" s="68">
        <f>A52</f>
        <v>0</v>
      </c>
      <c r="B110" s="69"/>
      <c r="C110" s="69"/>
      <c r="D110" s="69"/>
      <c r="E110" s="69"/>
      <c r="F110" s="69"/>
      <c r="G110" s="69"/>
      <c r="H110" s="69"/>
    </row>
    <row r="111" spans="1:8" hidden="1">
      <c r="A111" s="68"/>
      <c r="B111" s="69"/>
      <c r="C111" s="69"/>
      <c r="D111" s="69"/>
      <c r="E111" s="69"/>
      <c r="F111" s="69"/>
      <c r="G111" s="69"/>
      <c r="H111" s="69"/>
    </row>
    <row r="112" spans="1:8" hidden="1">
      <c r="A112" s="68"/>
      <c r="B112" s="69"/>
      <c r="C112" s="69"/>
      <c r="D112" s="69"/>
      <c r="E112" s="69"/>
      <c r="F112" s="69"/>
      <c r="G112" s="69"/>
      <c r="H112" s="69"/>
    </row>
    <row r="113" spans="1:8" hidden="1">
      <c r="A113" s="68">
        <f>A53</f>
        <v>0</v>
      </c>
      <c r="B113" s="69"/>
      <c r="C113" s="69"/>
      <c r="D113" s="69"/>
      <c r="E113" s="69"/>
      <c r="F113" s="69"/>
      <c r="G113" s="69"/>
      <c r="H113" s="69"/>
    </row>
    <row r="114" spans="1:8" hidden="1">
      <c r="A114" s="68"/>
      <c r="B114" s="69"/>
      <c r="C114" s="69"/>
      <c r="D114" s="69"/>
      <c r="E114" s="69"/>
      <c r="F114" s="69"/>
      <c r="G114" s="69"/>
      <c r="H114" s="69"/>
    </row>
    <row r="115" spans="1:8" hidden="1">
      <c r="A115" s="68"/>
      <c r="B115" s="69"/>
      <c r="C115" s="69"/>
      <c r="D115" s="69"/>
      <c r="E115" s="69"/>
      <c r="F115" s="69"/>
      <c r="G115" s="69"/>
      <c r="H115" s="69"/>
    </row>
    <row r="116" spans="1:8" hidden="1">
      <c r="A116" s="68">
        <f>A54</f>
        <v>0</v>
      </c>
      <c r="B116" s="69"/>
      <c r="C116" s="69"/>
      <c r="D116" s="69"/>
      <c r="E116" s="69"/>
      <c r="F116" s="69"/>
      <c r="G116" s="69"/>
      <c r="H116" s="69"/>
    </row>
    <row r="117" spans="1:8" hidden="1">
      <c r="A117" s="68"/>
      <c r="B117" s="69"/>
      <c r="C117" s="69"/>
      <c r="D117" s="69"/>
      <c r="E117" s="69"/>
      <c r="F117" s="69"/>
      <c r="G117" s="69"/>
      <c r="H117" s="69"/>
    </row>
    <row r="118" spans="1:8" hidden="1">
      <c r="A118" s="68"/>
      <c r="B118" s="69"/>
      <c r="C118" s="69"/>
      <c r="D118" s="69"/>
      <c r="E118" s="69"/>
      <c r="F118" s="69"/>
      <c r="G118" s="69"/>
      <c r="H118" s="69"/>
    </row>
    <row r="119" spans="1:8" hidden="1">
      <c r="A119" s="68">
        <f>A55</f>
        <v>0</v>
      </c>
      <c r="B119" s="69"/>
      <c r="C119" s="69"/>
      <c r="D119" s="69"/>
      <c r="E119" s="69"/>
      <c r="F119" s="69"/>
      <c r="G119" s="69"/>
      <c r="H119" s="69"/>
    </row>
    <row r="120" spans="1:8" hidden="1">
      <c r="A120" s="68"/>
      <c r="B120" s="69"/>
      <c r="C120" s="69"/>
      <c r="D120" s="69"/>
      <c r="E120" s="69"/>
      <c r="F120" s="69"/>
      <c r="G120" s="69"/>
      <c r="H120" s="69"/>
    </row>
    <row r="121" spans="1:8" hidden="1">
      <c r="A121" s="68"/>
      <c r="B121" s="69"/>
      <c r="C121" s="69"/>
      <c r="D121" s="69"/>
      <c r="E121" s="69"/>
      <c r="F121" s="69"/>
      <c r="G121" s="69"/>
      <c r="H121" s="69"/>
    </row>
    <row r="122" spans="1:8" hidden="1">
      <c r="A122" s="68">
        <f>A56</f>
        <v>0</v>
      </c>
      <c r="B122" s="69"/>
      <c r="C122" s="69"/>
      <c r="D122" s="69"/>
      <c r="E122" s="69"/>
      <c r="F122" s="69"/>
      <c r="G122" s="69"/>
      <c r="H122" s="69"/>
    </row>
    <row r="123" spans="1:8">
      <c r="A123" s="70" t="s">
        <v>719</v>
      </c>
      <c r="B123" s="69">
        <f>(B60+B63)*10%</f>
        <v>135.18960000000001</v>
      </c>
      <c r="C123" s="69">
        <f t="shared" ref="C123:H123" si="24">(C60+C63)*10%</f>
        <v>162.22752</v>
      </c>
      <c r="D123" s="69">
        <f t="shared" si="24"/>
        <v>189.26543999999998</v>
      </c>
      <c r="E123" s="69">
        <f t="shared" si="24"/>
        <v>216.30336</v>
      </c>
      <c r="F123" s="69">
        <f t="shared" si="24"/>
        <v>243.34128000000001</v>
      </c>
      <c r="G123" s="69">
        <f t="shared" si="24"/>
        <v>270.37920000000003</v>
      </c>
      <c r="H123" s="69">
        <f t="shared" si="24"/>
        <v>297.41712000000007</v>
      </c>
    </row>
    <row r="124" spans="1:8" hidden="1">
      <c r="A124" s="67"/>
      <c r="B124" s="214"/>
      <c r="C124" s="214"/>
      <c r="D124" s="214"/>
      <c r="E124" s="214"/>
      <c r="F124" s="214"/>
      <c r="G124" s="214"/>
      <c r="H124" s="214"/>
    </row>
    <row r="125" spans="1:8" hidden="1">
      <c r="A125" s="67" t="s">
        <v>444</v>
      </c>
      <c r="B125">
        <v>50</v>
      </c>
    </row>
    <row r="132" spans="1:10" ht="18.75">
      <c r="A132" s="381" t="s">
        <v>730</v>
      </c>
      <c r="B132" s="381"/>
      <c r="C132" s="381"/>
      <c r="D132" s="381"/>
      <c r="E132" s="381"/>
      <c r="F132" s="381"/>
      <c r="G132" s="381"/>
      <c r="H132" s="381"/>
      <c r="I132" s="381"/>
      <c r="J132" s="381"/>
    </row>
    <row r="133" spans="1:10">
      <c r="A133" s="12"/>
      <c r="B133" s="12"/>
      <c r="C133" s="12"/>
      <c r="D133" s="12"/>
      <c r="E133" s="12"/>
      <c r="F133" s="12"/>
      <c r="G133" s="12"/>
      <c r="H133" s="12"/>
    </row>
    <row r="134" spans="1:10">
      <c r="A134" s="149"/>
      <c r="B134" s="149"/>
      <c r="C134" s="149"/>
      <c r="D134" s="150">
        <v>1</v>
      </c>
      <c r="E134" s="151">
        <f>(D134*5%)+D134</f>
        <v>1.05</v>
      </c>
      <c r="F134" s="151">
        <f t="shared" ref="F134:J134" si="25">(E134*5%)+E134</f>
        <v>1.1025</v>
      </c>
      <c r="G134" s="151">
        <f t="shared" si="25"/>
        <v>1.1576250000000001</v>
      </c>
      <c r="H134" s="151">
        <f t="shared" si="25"/>
        <v>1.2155062500000002</v>
      </c>
      <c r="I134" s="151">
        <f t="shared" si="25"/>
        <v>1.2762815625000004</v>
      </c>
      <c r="J134" s="151">
        <f t="shared" si="25"/>
        <v>1.3400956406250004</v>
      </c>
    </row>
    <row r="135" spans="1:10">
      <c r="A135" s="67"/>
      <c r="B135" s="67"/>
      <c r="C135" s="67"/>
      <c r="D135" s="67"/>
      <c r="E135" s="67"/>
      <c r="F135" s="67"/>
      <c r="G135" s="67"/>
      <c r="H135" s="67"/>
      <c r="I135" s="67"/>
      <c r="J135" s="67"/>
    </row>
    <row r="136" spans="1:10">
      <c r="A136" s="115" t="s">
        <v>0</v>
      </c>
      <c r="B136" s="115" t="s">
        <v>133</v>
      </c>
      <c r="C136" s="115" t="s">
        <v>153</v>
      </c>
      <c r="D136" s="87" t="s">
        <v>2</v>
      </c>
      <c r="E136" s="87" t="s">
        <v>3</v>
      </c>
      <c r="F136" s="87" t="s">
        <v>4</v>
      </c>
      <c r="G136" s="87" t="s">
        <v>5</v>
      </c>
      <c r="H136" s="87" t="s">
        <v>6</v>
      </c>
      <c r="I136" s="87" t="s">
        <v>169</v>
      </c>
      <c r="J136" s="87" t="s">
        <v>168</v>
      </c>
    </row>
    <row r="137" spans="1:10">
      <c r="A137" s="68"/>
      <c r="B137" s="68"/>
      <c r="C137" s="68"/>
      <c r="D137" s="68"/>
      <c r="E137" s="68"/>
      <c r="F137" s="68"/>
      <c r="G137" s="68"/>
      <c r="H137" s="68"/>
      <c r="I137" s="68"/>
      <c r="J137" s="68"/>
    </row>
    <row r="138" spans="1:10">
      <c r="A138" s="70" t="s">
        <v>127</v>
      </c>
      <c r="B138" s="70"/>
      <c r="C138" s="70"/>
      <c r="D138" s="83"/>
      <c r="E138" s="83"/>
      <c r="F138" s="83"/>
      <c r="G138" s="83"/>
      <c r="H138" s="83"/>
      <c r="I138" s="68"/>
      <c r="J138" s="68"/>
    </row>
    <row r="139" spans="1:10">
      <c r="A139" s="70" t="str">
        <f>A58</f>
        <v>Cashew Nut</v>
      </c>
      <c r="B139" s="70"/>
      <c r="C139" s="70"/>
      <c r="D139" s="68"/>
      <c r="E139" s="68"/>
      <c r="F139" s="68"/>
      <c r="G139" s="68"/>
      <c r="H139" s="68"/>
      <c r="I139" s="68"/>
      <c r="J139" s="68"/>
    </row>
    <row r="140" spans="1:10">
      <c r="A140" s="68" t="str">
        <f>A59</f>
        <v>Cashew Karnel</v>
      </c>
      <c r="B140" s="288" t="s">
        <v>714</v>
      </c>
      <c r="C140" s="288">
        <v>400</v>
      </c>
      <c r="D140" s="69">
        <f>(((((B59*50%)*100)*2)*(1-'5.Closing Stock &amp; W Capital'!$D$17)))*$C$140*D134</f>
        <v>16649297.279999999</v>
      </c>
      <c r="E140" s="69">
        <f>E134*(((((C59*100)*(1-'5.Closing Stock &amp; W Capital'!$D$17))+((B59*100)*'5.Closing Stock &amp; W Capital'!$D$17))*50%)*2)*$C$140</f>
        <v>21518787.628799997</v>
      </c>
      <c r="F140" s="69">
        <f>F134*(((((D59*100)*(1-'5.Closing Stock &amp; W Capital'!$D$17))+((C59*100)*'5.Closing Stock &amp; W Capital'!$D$17))*50%)*2)*$C$140</f>
        <v>26379438.402239997</v>
      </c>
      <c r="G140" s="69">
        <f>G134*(((((E59*100)*(1-'5.Closing Stock &amp; W Capital'!$D$17))+((D59*100)*'5.Closing Stock &amp; W Capital'!$D$17))*50%)*2)*$C$140</f>
        <v>31672357.283952005</v>
      </c>
      <c r="H140" s="69">
        <f>H134*(((((F59*100)*(1-'5.Closing Stock &amp; W Capital'!$D$17))+((E59*100)*'5.Closing Stock &amp; W Capital'!$D$17))*50%)*2)*$C$140</f>
        <v>37428619.457829595</v>
      </c>
      <c r="I140" s="69">
        <f>I134*(((((G59*100)*(1-'5.Closing Stock &amp; W Capital'!$D$17))+((F59*100)*'5.Closing Stock &amp; W Capital'!$D$17))*50%)*2)*$C$140</f>
        <v>43681326.95588509</v>
      </c>
      <c r="J140" s="69">
        <f>J134*(((((H59*100)*(1-'5.Closing Stock &amp; W Capital'!$D$17))+((G59*100)*'5.Closing Stock &amp; W Capital'!$D$17))*50%)*2)*$C$140</f>
        <v>50465733.655101553</v>
      </c>
    </row>
    <row r="141" spans="1:10">
      <c r="A141" s="68" t="str">
        <f>A140</f>
        <v>Cashew Karnel</v>
      </c>
      <c r="B141" s="288" t="s">
        <v>715</v>
      </c>
      <c r="C141" s="288">
        <v>750</v>
      </c>
      <c r="D141" s="69">
        <f>(((((B59*25%)*100))*(1-'5.Closing Stock &amp; W Capital'!$D$17)))*$C$141*D134</f>
        <v>7804358.0999999996</v>
      </c>
      <c r="E141" s="69">
        <f>E134*(((((C59*100)*(1-'5.Closing Stock &amp; W Capital'!$D$17))+((B59*100)*'5.Closing Stock &amp; W Capital'!$D$17))*25%))*$C$141</f>
        <v>10086931.700999999</v>
      </c>
      <c r="F141" s="69">
        <f>F134*(((((D59*100)*(1-'5.Closing Stock &amp; W Capital'!$D$17))+((C59*100)*'5.Closing Stock &amp; W Capital'!$D$17))*25%))*$C$141</f>
        <v>12365361.751049997</v>
      </c>
      <c r="G141" s="69">
        <f>G134*(((((E59*100)*(1-'5.Closing Stock &amp; W Capital'!$D$17))+((D59*100)*'5.Closing Stock &amp; W Capital'!$D$17))*25%))*$C$141</f>
        <v>14846417.476852503</v>
      </c>
      <c r="H141" s="69">
        <f>H134*(((((F59*100)*(1-'5.Closing Stock &amp; W Capital'!$D$17))+((E59*100)*'5.Closing Stock &amp; W Capital'!$D$17))*25%))*$C$141</f>
        <v>17544665.370857622</v>
      </c>
      <c r="I141" s="69">
        <f>I134*(((((G59*100)*(1-'5.Closing Stock &amp; W Capital'!$D$17))+((F59*100)*'5.Closing Stock &amp; W Capital'!$D$17))*25%))*$C$141</f>
        <v>20475622.010571137</v>
      </c>
      <c r="J141" s="69">
        <f>J134*(((((H59*100)*(1-'5.Closing Stock &amp; W Capital'!$D$17))+((G59*100)*'5.Closing Stock &amp; W Capital'!$D$17))*25%))*$C$141</f>
        <v>23655812.650828853</v>
      </c>
    </row>
    <row r="142" spans="1:10">
      <c r="A142" s="68" t="str">
        <f>A141</f>
        <v>Cashew Karnel</v>
      </c>
      <c r="B142" s="288" t="s">
        <v>716</v>
      </c>
      <c r="C142" s="288">
        <f>700*10</f>
        <v>7000</v>
      </c>
      <c r="D142" s="69">
        <f>(((((B59*25%)*100)/10)*(1-'5.Closing Stock &amp; W Capital'!$D$17)))*$C$142*D134</f>
        <v>7284067.5599999996</v>
      </c>
      <c r="E142" s="69">
        <f>E134*(((((C59*100)*(1-'5.Closing Stock &amp; W Capital'!$D$17))+((B59*100)*'5.Closing Stock &amp; W Capital'!$D$17))*25%)/10)*$C$142</f>
        <v>9414469.5875999983</v>
      </c>
      <c r="F142" s="69">
        <f>F134*(((((D59*100)*(1-'5.Closing Stock &amp; W Capital'!$D$17))+((C59*100)*'5.Closing Stock &amp; W Capital'!$D$17))*25%)/10)*$C$142</f>
        <v>11541004.300979998</v>
      </c>
      <c r="G142" s="69">
        <f>G134*(((((E59*100)*(1-'5.Closing Stock &amp; W Capital'!$D$17))+((D59*100)*'5.Closing Stock &amp; W Capital'!$D$17))*25%)/10)*$C$142</f>
        <v>13856656.311729001</v>
      </c>
      <c r="H142" s="69">
        <f>H134*(((((F59*100)*(1-'5.Closing Stock &amp; W Capital'!$D$17))+((E59*100)*'5.Closing Stock &amp; W Capital'!$D$17))*25%)/10)*$C$142</f>
        <v>16375021.01280045</v>
      </c>
      <c r="I142" s="69">
        <f>I134*(((((G59*100)*(1-'5.Closing Stock &amp; W Capital'!$D$17))+((F59*100)*'5.Closing Stock &amp; W Capital'!$D$17))*25%)/10)*$C$142</f>
        <v>19110580.543199729</v>
      </c>
      <c r="J142" s="69">
        <f>J134*(((((H59*100)*(1-'5.Closing Stock &amp; W Capital'!$D$17))+((G59*100)*'5.Closing Stock &amp; W Capital'!$D$17))*25%)/10)*$C$142</f>
        <v>22078758.47410693</v>
      </c>
    </row>
    <row r="143" spans="1:10">
      <c r="A143" s="70" t="str">
        <f>A61</f>
        <v>Raw Cashew Nut</v>
      </c>
      <c r="B143" s="288"/>
      <c r="C143" s="288"/>
      <c r="D143" s="69"/>
      <c r="E143" s="69"/>
      <c r="F143" s="69"/>
      <c r="G143" s="69"/>
      <c r="H143" s="69"/>
      <c r="I143" s="69"/>
      <c r="J143" s="69"/>
    </row>
    <row r="144" spans="1:10">
      <c r="A144" s="68" t="str">
        <f>A62</f>
        <v>Cashew Karnel</v>
      </c>
      <c r="B144" s="288" t="str">
        <f>B140</f>
        <v>500 Gm</v>
      </c>
      <c r="C144" s="288">
        <v>500</v>
      </c>
      <c r="D144" s="69">
        <f>(((((B62*50%)*100)*2)*(1-'5.Closing Stock &amp; W Capital'!$D$17)))*$C$144*D134</f>
        <v>875909.99999999988</v>
      </c>
      <c r="E144" s="69">
        <f>E134*(((((C62*100)*(1-'5.Closing Stock &amp; W Capital'!$D$17))+((B62*100)*'5.Closing Stock &amp; W Capital'!$D$17))*50%)*2)*$C$144</f>
        <v>1132091.1000000001</v>
      </c>
      <c r="F144" s="69">
        <f>F134*(((((D62*100)*(1-'5.Closing Stock &amp; W Capital'!$D$17))+((C62*100)*'5.Closing Stock &amp; W Capital'!$D$17))*50%)*2)*$C$144</f>
        <v>1387807.1550000003</v>
      </c>
      <c r="G144" s="69">
        <f>G134*(((((E62*100)*(1-'5.Closing Stock &amp; W Capital'!$D$17))+((D62*100)*'5.Closing Stock &amp; W Capital'!$D$17))*50%)*2)*$C$144</f>
        <v>1666264.5877499999</v>
      </c>
      <c r="H144" s="69">
        <f>H134*(((((F62*100)*(1-'5.Closing Stock &amp; W Capital'!$D$17))+((E62*100)*'5.Closing Stock &amp; W Capital'!$D$17))*50%)*2)*$C$144</f>
        <v>1969098.2458875005</v>
      </c>
      <c r="I144" s="69">
        <f>I134*(((((G62*100)*(1-'5.Closing Stock &amp; W Capital'!$D$17))+((F62*100)*'5.Closing Stock &amp; W Capital'!$D$17))*50%)*2)*$C$144</f>
        <v>2298049.6083693756</v>
      </c>
      <c r="J144" s="69">
        <f>J134*(((((H62*100)*(1-'5.Closing Stock &amp; W Capital'!$D$17))+((G62*100)*'5.Closing Stock &amp; W Capital'!$D$17))*50%)*2)*$C$144</f>
        <v>2654973.3614847199</v>
      </c>
    </row>
    <row r="145" spans="1:11">
      <c r="A145" s="68" t="str">
        <f>A144</f>
        <v>Cashew Karnel</v>
      </c>
      <c r="B145" s="288" t="str">
        <f>B141</f>
        <v>1 Kg</v>
      </c>
      <c r="C145" s="288">
        <v>950</v>
      </c>
      <c r="D145" s="69">
        <f>(((((B62*25%)*100))*(1-'5.Closing Stock &amp; W Capital'!$D$17)))*$C$145*D134</f>
        <v>416057.24999999994</v>
      </c>
      <c r="E145" s="69">
        <f>E134*(((((C62*100)*(1-'5.Closing Stock &amp; W Capital'!$D$17))+((B62*100)*'5.Closing Stock &amp; W Capital'!$D$17))*25%))*$C$145</f>
        <v>537743.27250000008</v>
      </c>
      <c r="F145" s="69">
        <f>F134*(((((D62*100)*(1-'5.Closing Stock &amp; W Capital'!$D$17))+((C62*100)*'5.Closing Stock &amp; W Capital'!$D$17))*25%))*$C$145</f>
        <v>659208.39862500015</v>
      </c>
      <c r="G145" s="69">
        <f>G134*(((((E62*100)*(1-'5.Closing Stock &amp; W Capital'!$D$17))+((D62*100)*'5.Closing Stock &amp; W Capital'!$D$17))*25%))*$C$145</f>
        <v>791475.67918124993</v>
      </c>
      <c r="H145" s="69">
        <f>H134*(((((F62*100)*(1-'5.Closing Stock &amp; W Capital'!$D$17))+((E62*100)*'5.Closing Stock &amp; W Capital'!$D$17))*25%))*$C$145</f>
        <v>935321.66679656273</v>
      </c>
      <c r="I145" s="69">
        <f>I134*(((((G62*100)*(1-'5.Closing Stock &amp; W Capital'!$D$17))+((F62*100)*'5.Closing Stock &amp; W Capital'!$D$17))*25%))*$C$145</f>
        <v>1091573.5639754534</v>
      </c>
      <c r="J145" s="69">
        <f>J134*(((((H62*100)*(1-'5.Closing Stock &amp; W Capital'!$D$17))+((G62*100)*'5.Closing Stock &amp; W Capital'!$D$17))*25%))*$C$145</f>
        <v>1261112.3467052421</v>
      </c>
    </row>
    <row r="146" spans="1:11">
      <c r="A146" s="68" t="str">
        <f>A145</f>
        <v>Cashew Karnel</v>
      </c>
      <c r="B146" s="288" t="str">
        <f>B142</f>
        <v>10 Kg</v>
      </c>
      <c r="C146" s="288">
        <f>900*10</f>
        <v>9000</v>
      </c>
      <c r="D146" s="69">
        <f>(((((B62*25%)*100)/10)*(1-'5.Closing Stock &amp; W Capital'!$D$17)))*$C$146*D134</f>
        <v>394159.49999999988</v>
      </c>
      <c r="E146" s="69">
        <f>E134*(((((C62*100)*(1-'5.Closing Stock &amp; W Capital'!$D$17))+((B62*100)*'5.Closing Stock &amp; W Capital'!$D$17))*25%)/10)*$C$146</f>
        <v>509440.99500000005</v>
      </c>
      <c r="F146" s="69">
        <f>F134*(((((D62*100)*(1-'5.Closing Stock &amp; W Capital'!$D$17))+((C62*100)*'5.Closing Stock &amp; W Capital'!$D$17))*25%)/10)*$C$146</f>
        <v>624513.21975000005</v>
      </c>
      <c r="G146" s="69">
        <f>G134*(((((E62*100)*(1-'5.Closing Stock &amp; W Capital'!$D$17))+((D62*100)*'5.Closing Stock &amp; W Capital'!$D$17))*25%)/10)*$C$146</f>
        <v>749819.0644875</v>
      </c>
      <c r="H146" s="69">
        <f>H134*(((((F62*100)*(1-'5.Closing Stock &amp; W Capital'!$D$17))+((E62*100)*'5.Closing Stock &amp; W Capital'!$D$17))*25%)/10)*$C$146</f>
        <v>886094.21064937534</v>
      </c>
      <c r="I146" s="69">
        <f>I134*(((((G62*100)*(1-'5.Closing Stock &amp; W Capital'!$D$17))+((F62*100)*'5.Closing Stock &amp; W Capital'!$D$17))*25%)/10)*$C$146</f>
        <v>1034122.3237662191</v>
      </c>
      <c r="J146" s="69">
        <f>J134*(((((H62*100)*(1-'5.Closing Stock &amp; W Capital'!$D$17))+((G62*100)*'5.Closing Stock &amp; W Capital'!$D$17))*25%)/10)*$C$146</f>
        <v>1194738.0126681242</v>
      </c>
    </row>
    <row r="147" spans="1:11">
      <c r="A147" s="70"/>
      <c r="B147" s="291"/>
      <c r="C147" s="291"/>
      <c r="D147" s="69"/>
      <c r="E147" s="69"/>
      <c r="F147" s="69"/>
      <c r="G147" s="69"/>
      <c r="H147" s="69"/>
      <c r="I147" s="69"/>
      <c r="J147" s="69"/>
    </row>
    <row r="148" spans="1:11">
      <c r="A148" s="70" t="s">
        <v>719</v>
      </c>
      <c r="B148" s="288" t="s">
        <v>501</v>
      </c>
      <c r="C148" s="288">
        <v>45</v>
      </c>
      <c r="D148" s="69">
        <f>(((((B123)*100))*(1-'5.Closing Stock &amp; W Capital'!$D$17)))*$C$148*D134</f>
        <v>590102.60400000005</v>
      </c>
      <c r="E148" s="69">
        <f>E134*(((((C123*100)*(1-'5.Closing Stock &amp; W Capital'!$D$17))+((B123*100)*'5.Closing Stock &amp; W Capital'!$D$17))))*$C$148</f>
        <v>762692.40684000007</v>
      </c>
      <c r="F148" s="69">
        <f>F134*(((((D123*100)*(1-'5.Closing Stock &amp; W Capital'!$D$17))+((C123*100)*'5.Closing Stock &amp; W Capital'!$D$17))))*$C$148</f>
        <v>934968.90778199991</v>
      </c>
      <c r="G148" s="69">
        <f>G134*(((((E123*100)*(1-'5.Closing Stock &amp; W Capital'!$D$17))+((D123*100)*'5.Closing Stock &amp; W Capital'!$D$17))))*$C$148</f>
        <v>1122566.3278011</v>
      </c>
      <c r="H148" s="69">
        <f>H134*(((((F123*100)*(1-'5.Closing Stock &amp; W Capital'!$D$17))+((E123*100)*'5.Closing Stock &amp; W Capital'!$D$17))))*$C$148</f>
        <v>1326586.0675526552</v>
      </c>
      <c r="I148" s="69">
        <f>I134*(((((G123*100)*(1-'5.Closing Stock &amp; W Capital'!$D$17))+((F123*100)*'5.Closing Stock &amp; W Capital'!$D$17))))*$C$148</f>
        <v>1548201.3654598631</v>
      </c>
      <c r="J148" s="69">
        <f>J134*(((((H123*100)*(1-'5.Closing Stock &amp; W Capital'!$D$17))+((G123*100)*'5.Closing Stock &amp; W Capital'!$D$17))))*$C$148</f>
        <v>1788661.7279889106</v>
      </c>
      <c r="K148" s="46">
        <f>[2]Output!T58*70*K134</f>
        <v>0</v>
      </c>
    </row>
    <row r="149" spans="1:11">
      <c r="A149" s="70"/>
      <c r="B149" s="291"/>
      <c r="C149" s="288"/>
      <c r="D149" s="69"/>
      <c r="E149" s="69"/>
      <c r="F149" s="69"/>
      <c r="G149" s="69"/>
      <c r="H149" s="69"/>
      <c r="I149" s="69"/>
      <c r="J149" s="69"/>
    </row>
    <row r="150" spans="1:11">
      <c r="A150" s="68"/>
      <c r="B150" s="288"/>
      <c r="C150" s="288"/>
      <c r="D150" s="69"/>
      <c r="E150" s="69"/>
      <c r="F150" s="69"/>
      <c r="G150" s="69"/>
      <c r="H150" s="69"/>
      <c r="I150" s="69"/>
      <c r="J150" s="69"/>
    </row>
    <row r="151" spans="1:11">
      <c r="A151" s="70" t="s">
        <v>127</v>
      </c>
      <c r="B151" s="291"/>
      <c r="C151" s="291"/>
      <c r="D151" s="84">
        <f>SUM(D140:D149)</f>
        <v>34013952.294</v>
      </c>
      <c r="E151" s="84">
        <f t="shared" ref="E151:J151" si="26">SUM(E140:E149)</f>
        <v>43962156.691739991</v>
      </c>
      <c r="F151" s="84">
        <f t="shared" si="26"/>
        <v>53892302.135426998</v>
      </c>
      <c r="G151" s="84">
        <f t="shared" si="26"/>
        <v>64705556.731753357</v>
      </c>
      <c r="H151" s="84">
        <f t="shared" si="26"/>
        <v>76465406.032373771</v>
      </c>
      <c r="I151" s="84">
        <f t="shared" si="26"/>
        <v>89239476.371226862</v>
      </c>
      <c r="J151" s="84">
        <f t="shared" si="26"/>
        <v>103099790.22888434</v>
      </c>
    </row>
    <row r="152" spans="1:11">
      <c r="A152" s="68"/>
      <c r="B152" s="288"/>
      <c r="C152" s="288"/>
      <c r="D152" s="69"/>
      <c r="E152" s="69"/>
      <c r="F152" s="69"/>
      <c r="G152" s="69"/>
      <c r="H152" s="69"/>
      <c r="I152" s="69"/>
      <c r="J152" s="69"/>
    </row>
    <row r="153" spans="1:11">
      <c r="A153" s="70" t="s">
        <v>142</v>
      </c>
      <c r="B153" s="291"/>
      <c r="C153" s="291"/>
      <c r="D153" s="69"/>
      <c r="E153" s="69"/>
      <c r="F153" s="69"/>
      <c r="G153" s="69"/>
      <c r="H153" s="69"/>
      <c r="I153" s="69"/>
      <c r="J153" s="69"/>
    </row>
    <row r="154" spans="1:11">
      <c r="A154" s="70" t="s">
        <v>311</v>
      </c>
      <c r="B154" s="291"/>
      <c r="C154" s="288"/>
      <c r="D154" s="69"/>
      <c r="E154" s="69"/>
      <c r="F154" s="69"/>
      <c r="G154" s="69"/>
      <c r="H154" s="69"/>
      <c r="I154" s="69"/>
      <c r="J154" s="69"/>
    </row>
    <row r="155" spans="1:11">
      <c r="A155" s="68" t="s">
        <v>710</v>
      </c>
      <c r="B155" s="288" t="s">
        <v>358</v>
      </c>
      <c r="C155" s="152">
        <v>15000</v>
      </c>
      <c r="D155" s="69">
        <f>B37*$C$155*D134</f>
        <v>29937600</v>
      </c>
      <c r="E155" s="69">
        <f t="shared" ref="E155:J155" si="27">C37*$C$155*E134</f>
        <v>37721376</v>
      </c>
      <c r="F155" s="69">
        <f t="shared" si="27"/>
        <v>46208685.599999994</v>
      </c>
      <c r="G155" s="69">
        <f t="shared" si="27"/>
        <v>55450422.719999999</v>
      </c>
      <c r="H155" s="69">
        <f t="shared" si="27"/>
        <v>65500811.838000007</v>
      </c>
      <c r="I155" s="69">
        <f t="shared" si="27"/>
        <v>76417613.811000034</v>
      </c>
      <c r="J155" s="69">
        <f t="shared" si="27"/>
        <v>88262343.951705053</v>
      </c>
    </row>
    <row r="156" spans="1:11">
      <c r="A156" s="68" t="s">
        <v>717</v>
      </c>
      <c r="B156" s="288" t="s">
        <v>358</v>
      </c>
      <c r="C156" s="152">
        <v>12000</v>
      </c>
      <c r="D156" s="69">
        <f>B38*$C$156*D134</f>
        <v>1008000</v>
      </c>
      <c r="E156" s="69">
        <f t="shared" ref="E156:J156" si="28">C38*$C$156*E134</f>
        <v>1270080</v>
      </c>
      <c r="F156" s="69">
        <f t="shared" si="28"/>
        <v>1555848</v>
      </c>
      <c r="G156" s="69">
        <f t="shared" si="28"/>
        <v>1867017.6</v>
      </c>
      <c r="H156" s="69">
        <f t="shared" si="28"/>
        <v>2205414.5400000005</v>
      </c>
      <c r="I156" s="69">
        <f t="shared" si="28"/>
        <v>2572983.6300000008</v>
      </c>
      <c r="J156" s="69">
        <f t="shared" si="28"/>
        <v>2971796.0926500014</v>
      </c>
    </row>
    <row r="157" spans="1:11">
      <c r="A157" s="68" t="s">
        <v>317</v>
      </c>
      <c r="B157" s="288">
        <v>10</v>
      </c>
      <c r="C157" s="288">
        <v>300</v>
      </c>
      <c r="D157" s="69">
        <f t="shared" ref="D157:J157" si="29">B12*$B$157*$C$157*D134</f>
        <v>389970</v>
      </c>
      <c r="E157" s="69">
        <f t="shared" si="29"/>
        <v>491362.20000000007</v>
      </c>
      <c r="F157" s="69">
        <f t="shared" si="29"/>
        <v>601918.69499999995</v>
      </c>
      <c r="G157" s="69">
        <f t="shared" si="29"/>
        <v>722302.43399999989</v>
      </c>
      <c r="H157" s="69">
        <f t="shared" si="29"/>
        <v>853219.75016250007</v>
      </c>
      <c r="I157" s="69">
        <f t="shared" si="29"/>
        <v>995423.04185625026</v>
      </c>
      <c r="J157" s="69">
        <f t="shared" si="29"/>
        <v>1149713.6133439695</v>
      </c>
    </row>
    <row r="158" spans="1:11">
      <c r="A158" s="68" t="s">
        <v>144</v>
      </c>
      <c r="B158" s="288">
        <f>10*0.746*8</f>
        <v>59.68</v>
      </c>
      <c r="C158" s="288">
        <v>10</v>
      </c>
      <c r="D158" s="69">
        <f t="shared" ref="D158:J158" si="30">$B$158*$C$158*B12*D134</f>
        <v>77578.032000000007</v>
      </c>
      <c r="E158" s="69">
        <f t="shared" si="30"/>
        <v>97748.320319999999</v>
      </c>
      <c r="F158" s="69">
        <f t="shared" si="30"/>
        <v>119741.69239199997</v>
      </c>
      <c r="G158" s="69">
        <f t="shared" si="30"/>
        <v>143690.03087039999</v>
      </c>
      <c r="H158" s="69">
        <f t="shared" si="30"/>
        <v>169733.84896566</v>
      </c>
      <c r="I158" s="69">
        <f t="shared" si="30"/>
        <v>198022.82379327007</v>
      </c>
      <c r="J158" s="69">
        <f t="shared" si="30"/>
        <v>228716.36148122695</v>
      </c>
    </row>
    <row r="159" spans="1:11">
      <c r="A159" s="68" t="s">
        <v>294</v>
      </c>
      <c r="B159" s="288"/>
      <c r="C159" s="288">
        <v>10</v>
      </c>
      <c r="D159" s="69">
        <f>SUM(B32)*$C$159*D134</f>
        <v>20798.400000000001</v>
      </c>
      <c r="E159" s="69">
        <f t="shared" ref="E159:J159" si="31">SUM(C32)*$C$159*E134</f>
        <v>26205.984000000004</v>
      </c>
      <c r="F159" s="69">
        <f t="shared" si="31"/>
        <v>32102.330399999995</v>
      </c>
      <c r="G159" s="69">
        <f t="shared" si="31"/>
        <v>38522.796479999997</v>
      </c>
      <c r="H159" s="69">
        <f t="shared" si="31"/>
        <v>45505.053342000007</v>
      </c>
      <c r="I159" s="69">
        <f t="shared" si="31"/>
        <v>53089.228899000016</v>
      </c>
      <c r="J159" s="69">
        <f t="shared" si="31"/>
        <v>61318.059378345031</v>
      </c>
    </row>
    <row r="160" spans="1:11">
      <c r="A160" s="79" t="s">
        <v>718</v>
      </c>
      <c r="B160" s="351"/>
      <c r="C160" s="351">
        <v>2</v>
      </c>
      <c r="D160" s="69">
        <f>((((B59+B62)*100)*50%)*2)*$C$160*D134</f>
        <v>89433.12</v>
      </c>
      <c r="E160" s="69">
        <f t="shared" ref="E160:J160" si="32">((((C59+C62)*100)*50%)*2)*$C$160*E134</f>
        <v>112685.73119999999</v>
      </c>
      <c r="F160" s="69">
        <f t="shared" si="32"/>
        <v>138040.02071999997</v>
      </c>
      <c r="G160" s="69">
        <f t="shared" si="32"/>
        <v>165648.02486399998</v>
      </c>
      <c r="H160" s="69">
        <f t="shared" si="32"/>
        <v>195671.72937060002</v>
      </c>
      <c r="I160" s="69">
        <f t="shared" si="32"/>
        <v>228283.68426570008</v>
      </c>
      <c r="J160" s="69">
        <f t="shared" si="32"/>
        <v>263667.6553268836</v>
      </c>
    </row>
    <row r="161" spans="1:10">
      <c r="A161" s="79" t="s">
        <v>715</v>
      </c>
      <c r="B161" s="351"/>
      <c r="C161" s="351">
        <v>3</v>
      </c>
      <c r="D161" s="69">
        <f>((((B59+B62)*100)*25%))*$C$161*D134</f>
        <v>33537.42</v>
      </c>
      <c r="E161" s="69">
        <f t="shared" ref="E161:J161" si="33">((((C59+C62)*100)*25%))*$C$161*E134</f>
        <v>42257.1492</v>
      </c>
      <c r="F161" s="69">
        <f t="shared" si="33"/>
        <v>51765.007769999989</v>
      </c>
      <c r="G161" s="69">
        <f t="shared" si="33"/>
        <v>62118.009323999991</v>
      </c>
      <c r="H161" s="69">
        <f t="shared" si="33"/>
        <v>73376.898513975</v>
      </c>
      <c r="I161" s="69">
        <f t="shared" si="33"/>
        <v>85606.381599637534</v>
      </c>
      <c r="J161" s="69">
        <f t="shared" si="33"/>
        <v>98875.370747581357</v>
      </c>
    </row>
    <row r="162" spans="1:10">
      <c r="A162" s="79" t="s">
        <v>716</v>
      </c>
      <c r="B162" s="351"/>
      <c r="C162" s="351">
        <v>10</v>
      </c>
      <c r="D162" s="69">
        <f>((((B59+B62)*100)*25%)/10)*$C$162*D134</f>
        <v>11179.14</v>
      </c>
      <c r="E162" s="69">
        <f t="shared" ref="E162:J162" si="34">((((C59+C62)*100)*25%)/10)*$C$162*E134</f>
        <v>14085.716399999999</v>
      </c>
      <c r="F162" s="69">
        <f t="shared" si="34"/>
        <v>17255.002589999996</v>
      </c>
      <c r="G162" s="69">
        <f t="shared" si="34"/>
        <v>20706.003107999997</v>
      </c>
      <c r="H162" s="69">
        <f t="shared" si="34"/>
        <v>24458.966171325003</v>
      </c>
      <c r="I162" s="69">
        <f t="shared" si="34"/>
        <v>28535.460533212517</v>
      </c>
      <c r="J162" s="69">
        <f t="shared" si="34"/>
        <v>32958.456915860457</v>
      </c>
    </row>
    <row r="163" spans="1:10">
      <c r="A163" s="79" t="s">
        <v>722</v>
      </c>
      <c r="B163" s="351"/>
      <c r="C163" s="351">
        <v>12</v>
      </c>
      <c r="D163" s="69">
        <f>B123*100*$C$163*D134</f>
        <v>162227.52000000002</v>
      </c>
      <c r="E163" s="69">
        <f t="shared" ref="E163:J163" si="35">C123*100*$C$163*E134</f>
        <v>204406.67520000003</v>
      </c>
      <c r="F163" s="69">
        <f t="shared" si="35"/>
        <v>250398.17712000001</v>
      </c>
      <c r="G163" s="69">
        <f t="shared" si="35"/>
        <v>300477.81254400004</v>
      </c>
      <c r="H163" s="69">
        <f t="shared" si="35"/>
        <v>354939.41606760008</v>
      </c>
      <c r="I163" s="69">
        <f t="shared" si="35"/>
        <v>414095.98541220016</v>
      </c>
      <c r="J163" s="69">
        <f t="shared" si="35"/>
        <v>478280.86315109133</v>
      </c>
    </row>
    <row r="164" spans="1:10">
      <c r="A164" s="68" t="s">
        <v>296</v>
      </c>
      <c r="B164" s="288"/>
      <c r="C164" s="288">
        <v>100</v>
      </c>
      <c r="D164" s="69">
        <f>(B59+B62)*$C$164*D134</f>
        <v>44716.56</v>
      </c>
      <c r="E164" s="69">
        <f t="shared" ref="E164:J164" si="36">(C59+C62)*$C$164*E134</f>
        <v>56342.865599999997</v>
      </c>
      <c r="F164" s="69">
        <f t="shared" si="36"/>
        <v>69020.010359999986</v>
      </c>
      <c r="G164" s="69">
        <f t="shared" si="36"/>
        <v>82824.012431999989</v>
      </c>
      <c r="H164" s="69">
        <f t="shared" si="36"/>
        <v>97835.86468530001</v>
      </c>
      <c r="I164" s="69">
        <f t="shared" si="36"/>
        <v>114141.84213285004</v>
      </c>
      <c r="J164" s="69">
        <f t="shared" si="36"/>
        <v>131833.8276634418</v>
      </c>
    </row>
    <row r="165" spans="1:10">
      <c r="A165" s="9"/>
      <c r="B165" s="9"/>
      <c r="C165" s="9"/>
      <c r="D165" s="9"/>
      <c r="E165" s="9"/>
      <c r="F165" s="9"/>
      <c r="G165" s="9"/>
      <c r="H165" s="9"/>
      <c r="I165" s="9"/>
      <c r="J165" s="9"/>
    </row>
    <row r="166" spans="1:10">
      <c r="A166" s="9"/>
      <c r="B166" s="9"/>
      <c r="C166" s="9"/>
      <c r="D166" s="9"/>
      <c r="E166" s="9"/>
      <c r="F166" s="9"/>
      <c r="G166" s="9"/>
      <c r="H166" s="9"/>
      <c r="I166" s="9"/>
      <c r="J166" s="9"/>
    </row>
    <row r="167" spans="1:10">
      <c r="A167" s="9"/>
      <c r="B167" s="9"/>
      <c r="C167" s="9"/>
      <c r="D167" s="9"/>
      <c r="E167" s="9"/>
      <c r="F167" s="9"/>
      <c r="G167" s="9"/>
      <c r="H167" s="9"/>
      <c r="I167" s="9"/>
      <c r="J167" s="9"/>
    </row>
    <row r="168" spans="1:10">
      <c r="A168" s="9"/>
      <c r="B168" s="9"/>
      <c r="C168" s="9"/>
      <c r="D168" s="9"/>
      <c r="E168" s="9"/>
      <c r="F168" s="9"/>
      <c r="G168" s="9"/>
      <c r="H168" s="9"/>
      <c r="I168" s="9"/>
      <c r="J168" s="9"/>
    </row>
    <row r="169" spans="1:10">
      <c r="A169" s="152" t="s">
        <v>339</v>
      </c>
      <c r="B169" s="69"/>
      <c r="C169" s="69"/>
      <c r="D169" s="69"/>
      <c r="E169" s="69">
        <f>'5.Closing Stock &amp; W Capital'!F8</f>
        <v>945701.38656000001</v>
      </c>
      <c r="F169" s="69">
        <f>'5.Closing Stock &amp; W Capital'!G8</f>
        <v>1191583.7470656</v>
      </c>
      <c r="G169" s="69">
        <f>'5.Closing Stock &amp; W Capital'!H8</f>
        <v>1459690.0901553596</v>
      </c>
      <c r="H169" s="69">
        <f>'5.Closing Stock &amp; W Capital'!I8</f>
        <v>1751628.1081864322</v>
      </c>
      <c r="I169" s="69">
        <f>'5.Closing Stock &amp; W Capital'!J8</f>
        <v>2069110.7027952226</v>
      </c>
      <c r="J169" s="69">
        <f>'5.Closing Stock &amp; W Capital'!K8</f>
        <v>2413962.4865944274</v>
      </c>
    </row>
    <row r="170" spans="1:10">
      <c r="A170" s="152" t="s">
        <v>340</v>
      </c>
      <c r="B170" s="69"/>
      <c r="C170" s="69"/>
      <c r="D170" s="69">
        <f>'5.Closing Stock &amp; W Capital'!E17</f>
        <v>945701.38656000001</v>
      </c>
      <c r="E170" s="69">
        <f>'5.Closing Stock &amp; W Capital'!F17</f>
        <v>1191583.7470656</v>
      </c>
      <c r="F170" s="69">
        <f>'5.Closing Stock &amp; W Capital'!G17</f>
        <v>1459690.0901553596</v>
      </c>
      <c r="G170" s="69">
        <f>'5.Closing Stock &amp; W Capital'!H17</f>
        <v>1751628.1081864322</v>
      </c>
      <c r="H170" s="69">
        <f>'5.Closing Stock &amp; W Capital'!I17</f>
        <v>2069110.7027952226</v>
      </c>
      <c r="I170" s="69">
        <f>'5.Closing Stock &amp; W Capital'!J17</f>
        <v>2413962.4865944274</v>
      </c>
      <c r="J170" s="69">
        <f>'5.Closing Stock &amp; W Capital'!K17</f>
        <v>2788126.6720165638</v>
      </c>
    </row>
    <row r="171" spans="1:10">
      <c r="A171" s="69"/>
      <c r="B171" s="69"/>
      <c r="C171" s="69"/>
      <c r="D171" s="69"/>
      <c r="E171" s="69"/>
      <c r="F171" s="69"/>
      <c r="G171" s="69"/>
      <c r="H171" s="69"/>
      <c r="I171" s="69"/>
      <c r="J171" s="69"/>
    </row>
    <row r="172" spans="1:10">
      <c r="A172" s="84" t="s">
        <v>318</v>
      </c>
      <c r="B172" s="69"/>
      <c r="C172" s="69"/>
      <c r="D172" s="84">
        <f t="shared" ref="D172:J172" si="37">SUM(D155:D169)-D170</f>
        <v>30829338.805440001</v>
      </c>
      <c r="E172" s="84">
        <f t="shared" si="37"/>
        <v>39790668.281414405</v>
      </c>
      <c r="F172" s="84">
        <f t="shared" si="37"/>
        <v>48776668.193262234</v>
      </c>
      <c r="G172" s="84">
        <f t="shared" si="37"/>
        <v>58561791.425591342</v>
      </c>
      <c r="H172" s="84">
        <f t="shared" si="37"/>
        <v>69203485.310670167</v>
      </c>
      <c r="I172" s="84">
        <f t="shared" si="37"/>
        <v>80762944.105692953</v>
      </c>
      <c r="J172" s="84">
        <f t="shared" si="37"/>
        <v>93305340.066941291</v>
      </c>
    </row>
    <row r="173" spans="1:10">
      <c r="A173" s="67"/>
      <c r="B173" s="67"/>
      <c r="C173" s="67"/>
      <c r="D173" s="67"/>
      <c r="E173" s="67"/>
      <c r="F173" s="67"/>
      <c r="G173" s="67"/>
      <c r="H173" s="67"/>
      <c r="I173" s="67"/>
      <c r="J173" s="67"/>
    </row>
    <row r="174" spans="1:10">
      <c r="A174" s="153" t="s">
        <v>309</v>
      </c>
      <c r="B174" s="153"/>
      <c r="C174" s="153"/>
      <c r="D174" s="84"/>
      <c r="E174" s="84"/>
      <c r="F174" s="84"/>
      <c r="G174" s="84"/>
      <c r="H174" s="84"/>
      <c r="I174" s="84"/>
      <c r="J174" s="84"/>
    </row>
    <row r="175" spans="1:10">
      <c r="A175" s="68" t="s">
        <v>188</v>
      </c>
      <c r="B175" s="288">
        <v>2</v>
      </c>
      <c r="C175" s="152">
        <v>12000</v>
      </c>
      <c r="D175" s="69">
        <f t="shared" ref="D175:J175" si="38">$B$175*$C$175*12*D134</f>
        <v>288000</v>
      </c>
      <c r="E175" s="69">
        <f t="shared" si="38"/>
        <v>302400</v>
      </c>
      <c r="F175" s="69">
        <f t="shared" si="38"/>
        <v>317520</v>
      </c>
      <c r="G175" s="69">
        <f t="shared" si="38"/>
        <v>333396.00000000006</v>
      </c>
      <c r="H175" s="69">
        <f t="shared" si="38"/>
        <v>350065.80000000005</v>
      </c>
      <c r="I175" s="69">
        <f t="shared" si="38"/>
        <v>367569.09000000008</v>
      </c>
      <c r="J175" s="69">
        <f t="shared" si="38"/>
        <v>385947.54450000013</v>
      </c>
    </row>
    <row r="176" spans="1:10">
      <c r="A176" s="68"/>
      <c r="B176" s="288"/>
      <c r="C176" s="152"/>
      <c r="D176" s="69"/>
      <c r="E176" s="69"/>
      <c r="F176" s="69"/>
      <c r="G176" s="69"/>
      <c r="H176" s="69"/>
      <c r="I176" s="69"/>
      <c r="J176" s="69"/>
    </row>
    <row r="177" spans="1:10">
      <c r="A177" s="68"/>
      <c r="B177" s="288"/>
      <c r="C177" s="152"/>
      <c r="D177" s="69"/>
      <c r="E177" s="69"/>
      <c r="F177" s="69"/>
      <c r="G177" s="69"/>
      <c r="H177" s="69"/>
      <c r="I177" s="69"/>
      <c r="J177" s="69"/>
    </row>
    <row r="178" spans="1:10">
      <c r="A178" s="68"/>
      <c r="B178" s="288"/>
      <c r="C178" s="152"/>
      <c r="D178" s="69"/>
      <c r="E178" s="69"/>
      <c r="F178" s="69"/>
      <c r="G178" s="69"/>
      <c r="H178" s="69"/>
      <c r="I178" s="69"/>
      <c r="J178" s="69"/>
    </row>
    <row r="179" spans="1:10">
      <c r="A179" s="68"/>
      <c r="B179" s="288"/>
      <c r="C179" s="152"/>
      <c r="D179" s="69"/>
      <c r="E179" s="69"/>
      <c r="F179" s="69"/>
      <c r="G179" s="69"/>
      <c r="H179" s="69"/>
      <c r="I179" s="69"/>
      <c r="J179" s="69"/>
    </row>
    <row r="180" spans="1:10">
      <c r="A180" s="70" t="s">
        <v>309</v>
      </c>
      <c r="B180" s="291"/>
      <c r="C180" s="291"/>
      <c r="D180" s="84">
        <f t="shared" ref="D180:J180" si="39">SUM(D175:D179)</f>
        <v>288000</v>
      </c>
      <c r="E180" s="84">
        <f t="shared" si="39"/>
        <v>302400</v>
      </c>
      <c r="F180" s="84">
        <f t="shared" si="39"/>
        <v>317520</v>
      </c>
      <c r="G180" s="84">
        <f t="shared" si="39"/>
        <v>333396.00000000006</v>
      </c>
      <c r="H180" s="84">
        <f t="shared" si="39"/>
        <v>350065.80000000005</v>
      </c>
      <c r="I180" s="84">
        <f t="shared" si="39"/>
        <v>367569.09000000008</v>
      </c>
      <c r="J180" s="84">
        <f t="shared" si="39"/>
        <v>385947.54450000013</v>
      </c>
    </row>
    <row r="181" spans="1:10">
      <c r="A181" s="153" t="s">
        <v>297</v>
      </c>
      <c r="B181" s="352"/>
      <c r="C181" s="352"/>
      <c r="D181" s="84">
        <f t="shared" ref="D181:J181" si="40">D172+D180</f>
        <v>31117338.805440001</v>
      </c>
      <c r="E181" s="84">
        <f t="shared" si="40"/>
        <v>40093068.281414405</v>
      </c>
      <c r="F181" s="84">
        <f t="shared" si="40"/>
        <v>49094188.193262234</v>
      </c>
      <c r="G181" s="84">
        <f t="shared" si="40"/>
        <v>58895187.425591342</v>
      </c>
      <c r="H181" s="84">
        <f t="shared" si="40"/>
        <v>69553551.110670164</v>
      </c>
      <c r="I181" s="84">
        <f t="shared" si="40"/>
        <v>81130513.195692956</v>
      </c>
      <c r="J181" s="84">
        <f t="shared" si="40"/>
        <v>93691287.611441284</v>
      </c>
    </row>
    <row r="182" spans="1:10">
      <c r="A182" s="68"/>
      <c r="B182" s="68"/>
      <c r="C182" s="68"/>
      <c r="D182" s="69"/>
      <c r="E182" s="69"/>
      <c r="F182" s="69"/>
      <c r="G182" s="69"/>
      <c r="H182" s="69"/>
      <c r="I182" s="69"/>
      <c r="J182" s="69"/>
    </row>
    <row r="183" spans="1:10">
      <c r="A183" s="70" t="s">
        <v>7</v>
      </c>
      <c r="B183" s="70"/>
      <c r="C183" s="70"/>
      <c r="D183" s="84">
        <f t="shared" ref="D183:J183" si="41">D151-D181</f>
        <v>2896613.4885599986</v>
      </c>
      <c r="E183" s="84">
        <f t="shared" si="41"/>
        <v>3869088.4103255868</v>
      </c>
      <c r="F183" s="84">
        <f t="shared" si="41"/>
        <v>4798113.9421647638</v>
      </c>
      <c r="G183" s="84">
        <f t="shared" si="41"/>
        <v>5810369.3061620146</v>
      </c>
      <c r="H183" s="84">
        <f t="shared" si="41"/>
        <v>6911854.9217036068</v>
      </c>
      <c r="I183" s="84">
        <f t="shared" si="41"/>
        <v>8108963.1755339056</v>
      </c>
      <c r="J183" s="84">
        <f t="shared" si="41"/>
        <v>9408502.6174430549</v>
      </c>
    </row>
    <row r="184" spans="1:10">
      <c r="A184" s="85"/>
      <c r="B184" s="85"/>
      <c r="C184" s="85"/>
      <c r="D184" s="67"/>
      <c r="E184" s="67"/>
      <c r="F184" s="67"/>
      <c r="G184" s="67"/>
      <c r="H184" s="67"/>
      <c r="I184" s="67"/>
      <c r="J184" s="67"/>
    </row>
    <row r="185" spans="1:10">
      <c r="A185" s="67"/>
      <c r="B185" s="67"/>
      <c r="C185" s="67"/>
      <c r="D185" s="67"/>
      <c r="E185" s="67"/>
      <c r="F185" s="67"/>
      <c r="G185" s="67"/>
      <c r="H185" s="67"/>
      <c r="I185" s="67"/>
      <c r="J185" s="67"/>
    </row>
    <row r="186" spans="1:10">
      <c r="A186" s="67"/>
      <c r="B186" s="67"/>
      <c r="C186" s="67"/>
      <c r="D186" s="67"/>
      <c r="E186" s="67"/>
      <c r="F186" s="67"/>
      <c r="G186" s="67"/>
      <c r="H186" s="67"/>
      <c r="I186" s="67"/>
      <c r="J186" s="67"/>
    </row>
    <row r="187" spans="1:10">
      <c r="A187" s="384" t="s">
        <v>415</v>
      </c>
      <c r="B187" s="384"/>
      <c r="C187" s="384"/>
      <c r="D187" s="384"/>
      <c r="E187" s="384"/>
      <c r="F187" s="384"/>
      <c r="G187" s="384"/>
      <c r="H187" s="384"/>
      <c r="I187" s="384"/>
      <c r="J187" s="384"/>
    </row>
    <row r="189" spans="1:10">
      <c r="A189" t="s">
        <v>508</v>
      </c>
    </row>
    <row r="190" spans="1:10">
      <c r="A190">
        <v>1</v>
      </c>
      <c r="B190" t="s">
        <v>521</v>
      </c>
    </row>
    <row r="191" spans="1:10">
      <c r="A191">
        <v>2</v>
      </c>
      <c r="B191" t="s">
        <v>522</v>
      </c>
    </row>
    <row r="192" spans="1:10">
      <c r="A192">
        <v>3</v>
      </c>
      <c r="B192" s="67" t="s">
        <v>569</v>
      </c>
    </row>
  </sheetData>
  <mergeCells count="4">
    <mergeCell ref="A132:J132"/>
    <mergeCell ref="A3:H3"/>
    <mergeCell ref="A187:J187"/>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topLeftCell="A23" zoomScale="80" zoomScaleSheetLayoutView="80" workbookViewId="0">
      <selection activeCell="A40" sqref="A40"/>
    </sheetView>
  </sheetViews>
  <sheetFormatPr defaultRowHeight="15"/>
  <cols>
    <col min="1" max="1" width="30.42578125" bestFit="1" customWidth="1"/>
    <col min="2" max="2" width="9.7109375" customWidth="1"/>
    <col min="3" max="3" width="11.28515625" customWidth="1"/>
    <col min="4" max="10" width="9.5703125" bestFit="1" customWidth="1"/>
  </cols>
  <sheetData>
    <row r="2" spans="1:10" ht="18.75">
      <c r="A2" s="381" t="s">
        <v>557</v>
      </c>
      <c r="B2" s="381"/>
      <c r="C2" s="381"/>
      <c r="D2" s="381"/>
      <c r="E2" s="381"/>
      <c r="F2" s="381"/>
      <c r="G2" s="381"/>
      <c r="H2" s="381"/>
    </row>
    <row r="3" spans="1:10" ht="18.75">
      <c r="A3" s="381" t="s">
        <v>558</v>
      </c>
      <c r="B3" s="381"/>
      <c r="C3" s="381"/>
      <c r="D3" s="381"/>
      <c r="E3" s="381"/>
      <c r="F3" s="381"/>
      <c r="G3" s="381"/>
      <c r="H3" s="381"/>
    </row>
    <row r="4" spans="1:10">
      <c r="A4" s="67" t="s">
        <v>162</v>
      </c>
      <c r="B4" s="189"/>
      <c r="C4" s="144" t="s">
        <v>298</v>
      </c>
      <c r="D4" s="144"/>
      <c r="E4" s="144"/>
      <c r="F4" s="144"/>
      <c r="G4" s="67"/>
      <c r="H4" s="67"/>
    </row>
    <row r="5" spans="1:10">
      <c r="A5" s="67"/>
      <c r="B5" s="145"/>
      <c r="C5" s="67"/>
      <c r="D5" s="67"/>
      <c r="E5" s="67"/>
      <c r="F5" s="67"/>
      <c r="G5" s="67"/>
      <c r="H5" s="67"/>
    </row>
    <row r="6" spans="1:10">
      <c r="A6" s="67" t="s">
        <v>300</v>
      </c>
      <c r="B6" s="146">
        <v>12</v>
      </c>
      <c r="C6" s="67"/>
      <c r="D6" s="146"/>
      <c r="E6" s="146"/>
      <c r="F6" s="67"/>
      <c r="G6" s="67"/>
      <c r="H6" s="67"/>
    </row>
    <row r="7" spans="1:10">
      <c r="A7" s="67"/>
      <c r="B7" s="67"/>
      <c r="C7" s="146"/>
      <c r="D7" s="146"/>
      <c r="E7" s="146"/>
      <c r="F7" s="67"/>
      <c r="G7" s="67"/>
      <c r="H7" s="67"/>
    </row>
    <row r="8" spans="1:10">
      <c r="A8" s="115" t="s">
        <v>128</v>
      </c>
      <c r="B8" s="87" t="s">
        <v>2</v>
      </c>
      <c r="C8" s="87" t="s">
        <v>3</v>
      </c>
      <c r="D8" s="87" t="s">
        <v>4</v>
      </c>
      <c r="E8" s="87" t="s">
        <v>5</v>
      </c>
      <c r="F8" s="87" t="s">
        <v>6</v>
      </c>
      <c r="G8" s="87" t="s">
        <v>169</v>
      </c>
      <c r="H8" s="87" t="s">
        <v>168</v>
      </c>
    </row>
    <row r="9" spans="1:10">
      <c r="A9" s="68" t="s">
        <v>301</v>
      </c>
      <c r="B9" s="200">
        <v>0.8</v>
      </c>
      <c r="C9" s="200">
        <f>B9+5%</f>
        <v>0.85000000000000009</v>
      </c>
      <c r="D9" s="200">
        <f>C9+5%</f>
        <v>0.90000000000000013</v>
      </c>
      <c r="E9" s="200">
        <f>D9+5%</f>
        <v>0.95000000000000018</v>
      </c>
      <c r="F9" s="200">
        <f>E9+5%</f>
        <v>1.0000000000000002</v>
      </c>
      <c r="G9" s="200">
        <f>F9</f>
        <v>1.0000000000000002</v>
      </c>
      <c r="H9" s="200">
        <f>G9</f>
        <v>1.0000000000000002</v>
      </c>
    </row>
    <row r="10" spans="1:10">
      <c r="A10" s="70" t="s">
        <v>319</v>
      </c>
      <c r="B10" s="148">
        <f t="shared" ref="B10:H10" si="0">$B$4*B9*$B$6</f>
        <v>0</v>
      </c>
      <c r="C10" s="148">
        <f t="shared" si="0"/>
        <v>0</v>
      </c>
      <c r="D10" s="148">
        <f t="shared" si="0"/>
        <v>0</v>
      </c>
      <c r="E10" s="148">
        <f t="shared" si="0"/>
        <v>0</v>
      </c>
      <c r="F10" s="148">
        <f t="shared" si="0"/>
        <v>0</v>
      </c>
      <c r="G10" s="148">
        <f t="shared" si="0"/>
        <v>0</v>
      </c>
      <c r="H10" s="148">
        <f t="shared" si="0"/>
        <v>0</v>
      </c>
    </row>
    <row r="15" spans="1:10" ht="18.75">
      <c r="A15" s="381" t="s">
        <v>559</v>
      </c>
      <c r="B15" s="381"/>
      <c r="C15" s="381"/>
      <c r="D15" s="381"/>
      <c r="E15" s="381"/>
      <c r="F15" s="381"/>
      <c r="G15" s="381"/>
      <c r="H15" s="381"/>
      <c r="I15" s="381"/>
      <c r="J15" s="381"/>
    </row>
    <row r="16" spans="1:10">
      <c r="A16" s="12"/>
      <c r="B16" s="12"/>
      <c r="C16" s="12"/>
      <c r="D16" s="12"/>
      <c r="E16" s="12"/>
      <c r="F16" s="12"/>
      <c r="G16" s="12"/>
      <c r="H16" s="12"/>
    </row>
    <row r="17" spans="1:10">
      <c r="A17" s="67"/>
      <c r="B17" s="67"/>
      <c r="C17" s="67"/>
      <c r="D17" s="141">
        <v>1</v>
      </c>
      <c r="E17" s="139">
        <f>(D17*5%)+D17</f>
        <v>1.05</v>
      </c>
      <c r="F17" s="139">
        <f t="shared" ref="F17:J17" si="1">(E17*5%)+E17</f>
        <v>1.1025</v>
      </c>
      <c r="G17" s="139">
        <f t="shared" si="1"/>
        <v>1.1576250000000001</v>
      </c>
      <c r="H17" s="139">
        <f t="shared" si="1"/>
        <v>1.2155062500000002</v>
      </c>
      <c r="I17" s="139">
        <f t="shared" si="1"/>
        <v>1.2762815625000004</v>
      </c>
      <c r="J17" s="139">
        <f t="shared" si="1"/>
        <v>1.3400956406250004</v>
      </c>
    </row>
    <row r="18" spans="1:10">
      <c r="A18" s="115" t="s">
        <v>0</v>
      </c>
      <c r="B18" s="115" t="s">
        <v>133</v>
      </c>
      <c r="C18" s="115" t="s">
        <v>153</v>
      </c>
      <c r="D18" s="87" t="s">
        <v>2</v>
      </c>
      <c r="E18" s="87" t="s">
        <v>3</v>
      </c>
      <c r="F18" s="87" t="s">
        <v>4</v>
      </c>
      <c r="G18" s="87" t="s">
        <v>5</v>
      </c>
      <c r="H18" s="87" t="s">
        <v>6</v>
      </c>
      <c r="I18" s="87" t="s">
        <v>169</v>
      </c>
      <c r="J18" s="87" t="s">
        <v>168</v>
      </c>
    </row>
    <row r="19" spans="1:10">
      <c r="A19" s="68"/>
      <c r="B19" s="68"/>
      <c r="C19" s="68"/>
      <c r="D19" s="68"/>
      <c r="E19" s="68"/>
      <c r="F19" s="68"/>
      <c r="G19" s="68"/>
      <c r="H19" s="68"/>
      <c r="I19" s="68"/>
      <c r="J19" s="68"/>
    </row>
    <row r="20" spans="1:10">
      <c r="A20" s="70" t="s">
        <v>177</v>
      </c>
      <c r="B20" s="70"/>
      <c r="C20" s="70"/>
      <c r="D20" s="68"/>
      <c r="E20" s="68"/>
      <c r="F20" s="68"/>
      <c r="G20" s="68"/>
      <c r="H20" s="68"/>
      <c r="I20" s="68"/>
      <c r="J20" s="68"/>
    </row>
    <row r="21" spans="1:10">
      <c r="A21" s="68" t="s">
        <v>321</v>
      </c>
      <c r="B21" s="68"/>
      <c r="C21" s="184">
        <v>100</v>
      </c>
      <c r="D21" s="69">
        <f t="shared" ref="D21:J21" si="2">B10*$C$21*D17</f>
        <v>0</v>
      </c>
      <c r="E21" s="69">
        <f t="shared" si="2"/>
        <v>0</v>
      </c>
      <c r="F21" s="69">
        <f t="shared" si="2"/>
        <v>0</v>
      </c>
      <c r="G21" s="69">
        <f t="shared" si="2"/>
        <v>0</v>
      </c>
      <c r="H21" s="69">
        <f t="shared" si="2"/>
        <v>0</v>
      </c>
      <c r="I21" s="69">
        <f t="shared" si="2"/>
        <v>0</v>
      </c>
      <c r="J21" s="69">
        <f t="shared" si="2"/>
        <v>0</v>
      </c>
    </row>
    <row r="22" spans="1:10">
      <c r="A22" s="68"/>
      <c r="B22" s="68"/>
      <c r="C22" s="69"/>
      <c r="D22" s="69"/>
      <c r="E22" s="69"/>
      <c r="F22" s="69"/>
      <c r="G22" s="69"/>
      <c r="H22" s="69"/>
      <c r="I22" s="69"/>
      <c r="J22" s="69"/>
    </row>
    <row r="23" spans="1:10">
      <c r="A23" s="70" t="s">
        <v>143</v>
      </c>
      <c r="B23" s="70"/>
      <c r="C23" s="84"/>
      <c r="D23" s="69">
        <f t="shared" ref="D23:J23" si="3">SUM(D21:D21)</f>
        <v>0</v>
      </c>
      <c r="E23" s="69">
        <f t="shared" si="3"/>
        <v>0</v>
      </c>
      <c r="F23" s="69">
        <f t="shared" si="3"/>
        <v>0</v>
      </c>
      <c r="G23" s="69">
        <f t="shared" si="3"/>
        <v>0</v>
      </c>
      <c r="H23" s="69">
        <f t="shared" si="3"/>
        <v>0</v>
      </c>
      <c r="I23" s="69">
        <f t="shared" si="3"/>
        <v>0</v>
      </c>
      <c r="J23" s="69">
        <f t="shared" si="3"/>
        <v>0</v>
      </c>
    </row>
    <row r="24" spans="1:10">
      <c r="A24" s="68"/>
      <c r="B24" s="68"/>
      <c r="C24" s="69"/>
      <c r="D24" s="69"/>
      <c r="E24" s="69"/>
      <c r="F24" s="69"/>
      <c r="G24" s="69"/>
      <c r="H24" s="69"/>
      <c r="I24" s="69"/>
      <c r="J24" s="69"/>
    </row>
    <row r="25" spans="1:10">
      <c r="A25" s="70" t="s">
        <v>142</v>
      </c>
      <c r="B25" s="70"/>
      <c r="C25" s="69"/>
      <c r="D25" s="69"/>
      <c r="E25" s="69"/>
      <c r="F25" s="69"/>
      <c r="G25" s="69"/>
      <c r="H25" s="69"/>
      <c r="I25" s="69"/>
      <c r="J25" s="69"/>
    </row>
    <row r="26" spans="1:10">
      <c r="A26" s="70" t="s">
        <v>311</v>
      </c>
      <c r="B26" s="70"/>
      <c r="C26" s="69"/>
      <c r="D26" s="69"/>
      <c r="E26" s="69"/>
      <c r="F26" s="69"/>
      <c r="G26" s="69"/>
      <c r="H26" s="69"/>
      <c r="I26" s="69"/>
      <c r="J26" s="69"/>
    </row>
    <row r="27" spans="1:10">
      <c r="A27" s="68" t="s">
        <v>302</v>
      </c>
      <c r="B27" s="176" t="s">
        <v>298</v>
      </c>
      <c r="C27" s="184">
        <v>15</v>
      </c>
      <c r="D27" s="69">
        <f t="shared" ref="D27:J27" si="4">$B$4*$C$27*D17*4</f>
        <v>0</v>
      </c>
      <c r="E27" s="69">
        <f t="shared" si="4"/>
        <v>0</v>
      </c>
      <c r="F27" s="69">
        <f t="shared" si="4"/>
        <v>0</v>
      </c>
      <c r="G27" s="69">
        <f t="shared" si="4"/>
        <v>0</v>
      </c>
      <c r="H27" s="69">
        <f t="shared" si="4"/>
        <v>0</v>
      </c>
      <c r="I27" s="69">
        <f t="shared" si="4"/>
        <v>0</v>
      </c>
      <c r="J27" s="69">
        <f t="shared" si="4"/>
        <v>0</v>
      </c>
    </row>
    <row r="28" spans="1:10">
      <c r="A28" s="68" t="s">
        <v>303</v>
      </c>
      <c r="B28" s="176" t="s">
        <v>298</v>
      </c>
      <c r="C28" s="184">
        <v>14</v>
      </c>
      <c r="D28" s="69">
        <f t="shared" ref="D28:J28" si="5">$B$4*$C$28*D17*12</f>
        <v>0</v>
      </c>
      <c r="E28" s="69">
        <f t="shared" si="5"/>
        <v>0</v>
      </c>
      <c r="F28" s="69">
        <f t="shared" si="5"/>
        <v>0</v>
      </c>
      <c r="G28" s="69">
        <f t="shared" si="5"/>
        <v>0</v>
      </c>
      <c r="H28" s="69">
        <f t="shared" si="5"/>
        <v>0</v>
      </c>
      <c r="I28" s="69">
        <f t="shared" si="5"/>
        <v>0</v>
      </c>
      <c r="J28" s="69">
        <f t="shared" si="5"/>
        <v>0</v>
      </c>
    </row>
    <row r="29" spans="1:10">
      <c r="A29" s="68" t="s">
        <v>304</v>
      </c>
      <c r="B29" s="176"/>
      <c r="C29" s="184">
        <f>B4*10</f>
        <v>0</v>
      </c>
      <c r="D29" s="69">
        <f>$C$29*12*D17</f>
        <v>0</v>
      </c>
      <c r="E29" s="69">
        <f t="shared" ref="E29:J29" si="6">$C$29*12*E17</f>
        <v>0</v>
      </c>
      <c r="F29" s="69">
        <f t="shared" si="6"/>
        <v>0</v>
      </c>
      <c r="G29" s="69">
        <f t="shared" si="6"/>
        <v>0</v>
      </c>
      <c r="H29" s="69">
        <f t="shared" si="6"/>
        <v>0</v>
      </c>
      <c r="I29" s="69">
        <f t="shared" si="6"/>
        <v>0</v>
      </c>
      <c r="J29" s="69">
        <f t="shared" si="6"/>
        <v>0</v>
      </c>
    </row>
    <row r="30" spans="1:10">
      <c r="A30" s="68"/>
      <c r="B30" s="176"/>
      <c r="C30" s="184"/>
      <c r="D30" s="69"/>
      <c r="E30" s="69"/>
      <c r="F30" s="69"/>
      <c r="G30" s="69"/>
      <c r="H30" s="69"/>
      <c r="I30" s="69"/>
      <c r="J30" s="69"/>
    </row>
    <row r="31" spans="1:10">
      <c r="A31" s="68"/>
      <c r="B31" s="176"/>
      <c r="C31" s="184"/>
      <c r="D31" s="69"/>
      <c r="E31" s="69"/>
      <c r="F31" s="69"/>
      <c r="G31" s="69"/>
      <c r="H31" s="69"/>
      <c r="I31" s="69"/>
      <c r="J31" s="69"/>
    </row>
    <row r="32" spans="1:10">
      <c r="A32" s="68"/>
      <c r="B32" s="176"/>
      <c r="C32" s="184"/>
      <c r="D32" s="69"/>
      <c r="E32" s="69"/>
      <c r="F32" s="69"/>
      <c r="G32" s="69"/>
      <c r="H32" s="69"/>
      <c r="I32" s="69"/>
      <c r="J32" s="69"/>
    </row>
    <row r="33" spans="1:10">
      <c r="A33" s="68"/>
      <c r="B33" s="176"/>
      <c r="C33" s="184"/>
      <c r="D33" s="69"/>
      <c r="E33" s="69"/>
      <c r="F33" s="69"/>
      <c r="G33" s="69"/>
      <c r="H33" s="69"/>
      <c r="I33" s="69"/>
      <c r="J33" s="69"/>
    </row>
    <row r="34" spans="1:10">
      <c r="A34" s="70" t="s">
        <v>318</v>
      </c>
      <c r="B34" s="177"/>
      <c r="C34" s="188"/>
      <c r="D34" s="84">
        <f>SUM(D27:D33)</f>
        <v>0</v>
      </c>
      <c r="E34" s="84">
        <f t="shared" ref="E34:J34" si="7">SUM(E27:E33)</f>
        <v>0</v>
      </c>
      <c r="F34" s="84">
        <f t="shared" si="7"/>
        <v>0</v>
      </c>
      <c r="G34" s="84">
        <f t="shared" si="7"/>
        <v>0</v>
      </c>
      <c r="H34" s="84">
        <f t="shared" si="7"/>
        <v>0</v>
      </c>
      <c r="I34" s="84">
        <f t="shared" si="7"/>
        <v>0</v>
      </c>
      <c r="J34" s="84">
        <f t="shared" si="7"/>
        <v>0</v>
      </c>
    </row>
    <row r="35" spans="1:10">
      <c r="A35" s="70"/>
      <c r="B35" s="177"/>
      <c r="C35" s="188"/>
      <c r="D35" s="84"/>
      <c r="E35" s="84"/>
      <c r="F35" s="84"/>
      <c r="G35" s="84"/>
      <c r="H35" s="84"/>
      <c r="I35" s="84"/>
      <c r="J35" s="84"/>
    </row>
    <row r="36" spans="1:10">
      <c r="A36" s="70" t="s">
        <v>309</v>
      </c>
      <c r="B36" s="176"/>
      <c r="C36" s="184"/>
      <c r="D36" s="69"/>
      <c r="E36" s="69"/>
      <c r="F36" s="69"/>
      <c r="G36" s="69"/>
      <c r="H36" s="69"/>
      <c r="I36" s="69"/>
      <c r="J36" s="69"/>
    </row>
    <row r="37" spans="1:10">
      <c r="A37" s="68" t="s">
        <v>320</v>
      </c>
      <c r="B37" s="176">
        <v>1</v>
      </c>
      <c r="C37" s="184"/>
      <c r="D37" s="69">
        <f>$B$37*$C$37*D17*12</f>
        <v>0</v>
      </c>
      <c r="E37" s="69">
        <f t="shared" ref="E37:J37" si="8">$B$37*$C$37*E17*12</f>
        <v>0</v>
      </c>
      <c r="F37" s="69">
        <f t="shared" si="8"/>
        <v>0</v>
      </c>
      <c r="G37" s="69">
        <f t="shared" si="8"/>
        <v>0</v>
      </c>
      <c r="H37" s="69">
        <f t="shared" si="8"/>
        <v>0</v>
      </c>
      <c r="I37" s="69">
        <f t="shared" si="8"/>
        <v>0</v>
      </c>
      <c r="J37" s="69">
        <f t="shared" si="8"/>
        <v>0</v>
      </c>
    </row>
    <row r="38" spans="1:10">
      <c r="A38" s="68"/>
      <c r="B38" s="176"/>
      <c r="C38" s="184"/>
      <c r="D38" s="69"/>
      <c r="E38" s="69"/>
      <c r="F38" s="69"/>
      <c r="G38" s="69"/>
      <c r="H38" s="69"/>
      <c r="I38" s="69"/>
      <c r="J38" s="69"/>
    </row>
    <row r="39" spans="1:10">
      <c r="A39" s="68"/>
      <c r="B39" s="176"/>
      <c r="C39" s="184"/>
      <c r="D39" s="69"/>
      <c r="E39" s="69"/>
      <c r="F39" s="69"/>
      <c r="G39" s="69"/>
      <c r="H39" s="69"/>
      <c r="I39" s="69"/>
      <c r="J39" s="69"/>
    </row>
    <row r="40" spans="1:10">
      <c r="A40" s="68"/>
      <c r="B40" s="176"/>
      <c r="C40" s="184"/>
      <c r="D40" s="69"/>
      <c r="E40" s="69"/>
      <c r="F40" s="69"/>
      <c r="G40" s="69"/>
      <c r="H40" s="69"/>
      <c r="I40" s="69"/>
      <c r="J40" s="69"/>
    </row>
    <row r="41" spans="1:10">
      <c r="A41" s="68"/>
      <c r="B41" s="176"/>
      <c r="C41" s="184"/>
      <c r="D41" s="69"/>
      <c r="E41" s="69"/>
      <c r="F41" s="69"/>
      <c r="G41" s="69"/>
      <c r="H41" s="69"/>
      <c r="I41" s="69"/>
      <c r="J41" s="69"/>
    </row>
    <row r="42" spans="1:10">
      <c r="A42" s="68"/>
      <c r="B42" s="176"/>
      <c r="C42" s="184"/>
      <c r="D42" s="69"/>
      <c r="E42" s="69"/>
      <c r="F42" s="69"/>
      <c r="G42" s="69"/>
      <c r="H42" s="69"/>
      <c r="I42" s="69"/>
      <c r="J42" s="69"/>
    </row>
    <row r="43" spans="1:10">
      <c r="A43" s="70" t="s">
        <v>322</v>
      </c>
      <c r="B43" s="70"/>
      <c r="C43" s="84"/>
      <c r="D43" s="84">
        <f>SUM(D37:D42)</f>
        <v>0</v>
      </c>
      <c r="E43" s="84">
        <f t="shared" ref="E43:J43" si="9">SUM(E37:E42)</f>
        <v>0</v>
      </c>
      <c r="F43" s="84">
        <f t="shared" si="9"/>
        <v>0</v>
      </c>
      <c r="G43" s="84">
        <f t="shared" si="9"/>
        <v>0</v>
      </c>
      <c r="H43" s="84">
        <f t="shared" si="9"/>
        <v>0</v>
      </c>
      <c r="I43" s="84">
        <f t="shared" si="9"/>
        <v>0</v>
      </c>
      <c r="J43" s="84">
        <f t="shared" si="9"/>
        <v>0</v>
      </c>
    </row>
    <row r="44" spans="1:10">
      <c r="A44" s="70"/>
      <c r="B44" s="70"/>
      <c r="C44" s="84"/>
      <c r="D44" s="84"/>
      <c r="E44" s="84"/>
      <c r="F44" s="84"/>
      <c r="G44" s="84"/>
      <c r="H44" s="84"/>
      <c r="I44" s="84"/>
      <c r="J44" s="84"/>
    </row>
    <row r="45" spans="1:10">
      <c r="A45" s="70" t="s">
        <v>130</v>
      </c>
      <c r="B45" s="70"/>
      <c r="C45" s="84"/>
      <c r="D45" s="84">
        <f>D34+D43</f>
        <v>0</v>
      </c>
      <c r="E45" s="84">
        <f t="shared" ref="E45:J45" si="10">E34+E43</f>
        <v>0</v>
      </c>
      <c r="F45" s="84">
        <f t="shared" si="10"/>
        <v>0</v>
      </c>
      <c r="G45" s="84">
        <f t="shared" si="10"/>
        <v>0</v>
      </c>
      <c r="H45" s="84">
        <f t="shared" si="10"/>
        <v>0</v>
      </c>
      <c r="I45" s="84">
        <f t="shared" si="10"/>
        <v>0</v>
      </c>
      <c r="J45" s="84">
        <f t="shared" si="10"/>
        <v>0</v>
      </c>
    </row>
    <row r="46" spans="1:10">
      <c r="A46" s="68"/>
      <c r="B46" s="68"/>
      <c r="C46" s="69"/>
      <c r="D46" s="69"/>
      <c r="E46" s="69"/>
      <c r="F46" s="69"/>
      <c r="G46" s="69"/>
      <c r="H46" s="69"/>
      <c r="I46" s="69"/>
      <c r="J46" s="69"/>
    </row>
    <row r="47" spans="1:10">
      <c r="A47" s="70" t="s">
        <v>129</v>
      </c>
      <c r="B47" s="70"/>
      <c r="C47" s="84"/>
      <c r="D47" s="84">
        <f t="shared" ref="D47:J47" si="11">D23-D45</f>
        <v>0</v>
      </c>
      <c r="E47" s="84">
        <f t="shared" si="11"/>
        <v>0</v>
      </c>
      <c r="F47" s="84">
        <f t="shared" si="11"/>
        <v>0</v>
      </c>
      <c r="G47" s="84">
        <f t="shared" si="11"/>
        <v>0</v>
      </c>
      <c r="H47" s="84">
        <f t="shared" si="11"/>
        <v>0</v>
      </c>
      <c r="I47" s="84">
        <f t="shared" si="11"/>
        <v>0</v>
      </c>
      <c r="J47" s="84">
        <f t="shared" si="11"/>
        <v>0</v>
      </c>
    </row>
    <row r="48" spans="1:10">
      <c r="A48" s="67"/>
      <c r="B48" s="67"/>
      <c r="C48" s="67"/>
      <c r="D48" s="67"/>
      <c r="E48" s="67"/>
      <c r="F48" s="67"/>
      <c r="G48" s="67"/>
      <c r="H48" s="67"/>
      <c r="I48" s="67"/>
      <c r="J48" s="67"/>
    </row>
    <row r="49" spans="1:10">
      <c r="A49" s="67"/>
    </row>
    <row r="51" spans="1:10">
      <c r="A51" s="384" t="s">
        <v>415</v>
      </c>
      <c r="B51" s="384"/>
      <c r="C51" s="384"/>
      <c r="D51" s="384"/>
      <c r="E51" s="384"/>
      <c r="F51" s="384"/>
      <c r="G51" s="384"/>
      <c r="H51" s="384"/>
      <c r="I51" s="384"/>
      <c r="J51" s="384"/>
    </row>
    <row r="53" spans="1:10">
      <c r="A53" t="s">
        <v>508</v>
      </c>
    </row>
    <row r="54" spans="1:10">
      <c r="A54">
        <v>1</v>
      </c>
      <c r="B54" t="s">
        <v>521</v>
      </c>
    </row>
    <row r="55" spans="1:10">
      <c r="A55">
        <v>2</v>
      </c>
      <c r="B55" t="s">
        <v>522</v>
      </c>
    </row>
    <row r="56" spans="1:10">
      <c r="A56">
        <v>3</v>
      </c>
      <c r="B56" s="67" t="s">
        <v>569</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dimension ref="A3:P68"/>
  <sheetViews>
    <sheetView view="pageBreakPreview" zoomScale="80" zoomScaleSheetLayoutView="80" workbookViewId="0">
      <selection activeCell="D12" sqref="D12"/>
    </sheetView>
  </sheetViews>
  <sheetFormatPr defaultRowHeight="15"/>
  <cols>
    <col min="1" max="2" width="29.42578125" customWidth="1"/>
    <col min="3" max="3" width="12.28515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28515625" customWidth="1"/>
    <col min="13" max="13" width="16" customWidth="1"/>
    <col min="14" max="14" width="23.28515625" customWidth="1"/>
    <col min="18" max="18" width="12.7109375" bestFit="1" customWidth="1"/>
  </cols>
  <sheetData>
    <row r="3" spans="1:13" ht="18.75">
      <c r="A3" s="381" t="s">
        <v>560</v>
      </c>
      <c r="B3" s="381"/>
      <c r="C3" s="381"/>
      <c r="D3" s="381"/>
      <c r="E3" s="381"/>
      <c r="F3" s="381"/>
      <c r="G3" s="381"/>
      <c r="H3" s="381"/>
      <c r="I3" s="381"/>
      <c r="J3" s="381"/>
      <c r="K3" s="381"/>
      <c r="L3" s="381"/>
    </row>
    <row r="4" spans="1:13" ht="18.75">
      <c r="A4" s="381" t="s">
        <v>561</v>
      </c>
      <c r="B4" s="381"/>
      <c r="C4" s="381"/>
      <c r="D4" s="381"/>
      <c r="E4" s="381"/>
      <c r="F4" s="381"/>
      <c r="G4" s="381"/>
      <c r="H4" s="381"/>
      <c r="I4" s="381"/>
      <c r="J4" s="381"/>
      <c r="K4" s="381"/>
      <c r="L4" s="381"/>
    </row>
    <row r="5" spans="1:13">
      <c r="A5" s="67"/>
      <c r="B5" s="67"/>
      <c r="C5" s="67"/>
    </row>
    <row r="6" spans="1:13">
      <c r="A6" s="67"/>
      <c r="B6" s="67"/>
      <c r="C6" s="67"/>
    </row>
    <row r="7" spans="1:13" ht="45">
      <c r="A7" s="205" t="s">
        <v>145</v>
      </c>
      <c r="B7" s="206" t="s">
        <v>423</v>
      </c>
      <c r="C7" s="206" t="s">
        <v>431</v>
      </c>
      <c r="D7" s="206" t="s">
        <v>429</v>
      </c>
      <c r="E7" s="206" t="s">
        <v>430</v>
      </c>
      <c r="F7" s="206" t="s">
        <v>305</v>
      </c>
      <c r="G7" s="206" t="s">
        <v>432</v>
      </c>
      <c r="H7" s="206" t="s">
        <v>433</v>
      </c>
      <c r="I7" s="206" t="s">
        <v>434</v>
      </c>
      <c r="J7" s="208" t="s">
        <v>437</v>
      </c>
      <c r="K7" s="206" t="s">
        <v>435</v>
      </c>
      <c r="L7" s="208" t="s">
        <v>436</v>
      </c>
      <c r="M7" s="206" t="s">
        <v>439</v>
      </c>
    </row>
    <row r="8" spans="1:13">
      <c r="A8" s="207">
        <v>1</v>
      </c>
      <c r="B8" s="201" t="s">
        <v>424</v>
      </c>
      <c r="C8" s="201"/>
      <c r="D8" s="201"/>
      <c r="E8" s="201">
        <v>6</v>
      </c>
      <c r="F8" s="9">
        <f>D8*E8*C8</f>
        <v>0</v>
      </c>
      <c r="G8" s="201">
        <v>4</v>
      </c>
      <c r="H8" s="9">
        <f>F8/G8</f>
        <v>0</v>
      </c>
      <c r="I8" s="201">
        <v>12</v>
      </c>
      <c r="J8" s="9">
        <f>H8*I8</f>
        <v>0</v>
      </c>
      <c r="K8" s="201">
        <v>3000</v>
      </c>
      <c r="L8" s="201">
        <v>1</v>
      </c>
      <c r="M8" s="9">
        <f t="shared" ref="M8:M17" si="0">D8*L8</f>
        <v>0</v>
      </c>
    </row>
    <row r="9" spans="1:13">
      <c r="A9" s="207">
        <v>2</v>
      </c>
      <c r="B9" s="201" t="s">
        <v>425</v>
      </c>
      <c r="C9" s="201"/>
      <c r="D9" s="201"/>
      <c r="E9" s="201">
        <v>6</v>
      </c>
      <c r="F9" s="9">
        <f t="shared" ref="F9:F17" si="1">D9*E9*C9</f>
        <v>0</v>
      </c>
      <c r="G9" s="201">
        <v>2</v>
      </c>
      <c r="H9" s="9">
        <f>F9/G9</f>
        <v>0</v>
      </c>
      <c r="I9" s="201">
        <v>8</v>
      </c>
      <c r="J9" s="9">
        <f t="shared" ref="J9:J17" si="2">H9*I9</f>
        <v>0</v>
      </c>
      <c r="K9" s="201">
        <v>1800</v>
      </c>
      <c r="L9" s="201">
        <v>1</v>
      </c>
      <c r="M9" s="9">
        <f t="shared" si="0"/>
        <v>0</v>
      </c>
    </row>
    <row r="10" spans="1:13">
      <c r="A10" s="207">
        <v>3</v>
      </c>
      <c r="B10" s="201" t="s">
        <v>426</v>
      </c>
      <c r="C10" s="201"/>
      <c r="D10" s="201"/>
      <c r="E10" s="201">
        <v>6</v>
      </c>
      <c r="F10" s="9">
        <f t="shared" si="1"/>
        <v>0</v>
      </c>
      <c r="G10" s="201">
        <v>2</v>
      </c>
      <c r="H10" s="9">
        <f>F10/G10</f>
        <v>0</v>
      </c>
      <c r="I10" s="201">
        <v>8</v>
      </c>
      <c r="J10" s="9">
        <f t="shared" si="2"/>
        <v>0</v>
      </c>
      <c r="K10" s="201">
        <v>1800</v>
      </c>
      <c r="L10" s="201">
        <v>1</v>
      </c>
      <c r="M10" s="9">
        <f t="shared" si="0"/>
        <v>0</v>
      </c>
    </row>
    <row r="11" spans="1:13">
      <c r="A11" s="207">
        <v>4</v>
      </c>
      <c r="B11" s="201" t="s">
        <v>427</v>
      </c>
      <c r="C11" s="201"/>
      <c r="D11" s="201"/>
      <c r="E11" s="201">
        <v>6</v>
      </c>
      <c r="F11" s="9">
        <f t="shared" si="1"/>
        <v>0</v>
      </c>
      <c r="G11" s="201">
        <v>2</v>
      </c>
      <c r="H11" s="9">
        <f>F11/G11</f>
        <v>0</v>
      </c>
      <c r="I11" s="201">
        <v>4</v>
      </c>
      <c r="J11" s="9">
        <f t="shared" si="2"/>
        <v>0</v>
      </c>
      <c r="K11" s="201">
        <v>1200</v>
      </c>
      <c r="L11" s="201">
        <v>1</v>
      </c>
      <c r="M11" s="9">
        <f t="shared" si="0"/>
        <v>0</v>
      </c>
    </row>
    <row r="12" spans="1:13">
      <c r="A12" s="207">
        <v>5</v>
      </c>
      <c r="B12" s="201" t="s">
        <v>428</v>
      </c>
      <c r="C12" s="201"/>
      <c r="D12" s="201"/>
      <c r="E12" s="201">
        <v>6</v>
      </c>
      <c r="F12" s="9">
        <f t="shared" si="1"/>
        <v>0</v>
      </c>
      <c r="G12" s="201">
        <v>2</v>
      </c>
      <c r="H12" s="9">
        <f>F12/G12</f>
        <v>0</v>
      </c>
      <c r="I12" s="201">
        <v>10</v>
      </c>
      <c r="J12" s="9">
        <f t="shared" si="2"/>
        <v>0</v>
      </c>
      <c r="K12" s="201">
        <v>3000</v>
      </c>
      <c r="L12" s="201">
        <v>1</v>
      </c>
      <c r="M12" s="9">
        <f t="shared" si="0"/>
        <v>0</v>
      </c>
    </row>
    <row r="13" spans="1:13">
      <c r="A13" s="207">
        <v>6</v>
      </c>
      <c r="B13" s="9"/>
      <c r="C13" s="9"/>
      <c r="D13" s="9"/>
      <c r="E13" s="9"/>
      <c r="F13" s="9">
        <f t="shared" si="1"/>
        <v>0</v>
      </c>
      <c r="G13" s="9">
        <v>0</v>
      </c>
      <c r="H13" s="201"/>
      <c r="I13" s="9"/>
      <c r="J13" s="9">
        <f t="shared" si="2"/>
        <v>0</v>
      </c>
      <c r="K13" s="9"/>
      <c r="L13" s="9"/>
      <c r="M13" s="9">
        <f t="shared" si="0"/>
        <v>0</v>
      </c>
    </row>
    <row r="14" spans="1:13">
      <c r="A14" s="207">
        <v>7</v>
      </c>
      <c r="B14" s="9"/>
      <c r="C14" s="9"/>
      <c r="D14" s="9"/>
      <c r="E14" s="9"/>
      <c r="F14" s="9">
        <f t="shared" si="1"/>
        <v>0</v>
      </c>
      <c r="G14" s="9">
        <v>0</v>
      </c>
      <c r="H14" s="201"/>
      <c r="I14" s="9"/>
      <c r="J14" s="9">
        <f t="shared" si="2"/>
        <v>0</v>
      </c>
      <c r="K14" s="9"/>
      <c r="L14" s="9"/>
      <c r="M14" s="9">
        <f t="shared" si="0"/>
        <v>0</v>
      </c>
    </row>
    <row r="15" spans="1:13">
      <c r="A15" s="207">
        <v>8</v>
      </c>
      <c r="B15" s="9"/>
      <c r="C15" s="9"/>
      <c r="D15" s="9"/>
      <c r="E15" s="9"/>
      <c r="F15" s="9">
        <f t="shared" si="1"/>
        <v>0</v>
      </c>
      <c r="G15" s="9">
        <v>0</v>
      </c>
      <c r="H15" s="201"/>
      <c r="I15" s="9"/>
      <c r="J15" s="9">
        <f t="shared" si="2"/>
        <v>0</v>
      </c>
      <c r="K15" s="9"/>
      <c r="L15" s="9"/>
      <c r="M15" s="9">
        <f t="shared" si="0"/>
        <v>0</v>
      </c>
    </row>
    <row r="16" spans="1:13">
      <c r="A16" s="207">
        <v>9</v>
      </c>
      <c r="B16" s="9"/>
      <c r="C16" s="9"/>
      <c r="D16" s="9"/>
      <c r="E16" s="9"/>
      <c r="F16" s="9">
        <f t="shared" si="1"/>
        <v>0</v>
      </c>
      <c r="G16" s="9">
        <v>0</v>
      </c>
      <c r="H16" s="201"/>
      <c r="I16" s="9"/>
      <c r="J16" s="9">
        <f t="shared" si="2"/>
        <v>0</v>
      </c>
      <c r="K16" s="9"/>
      <c r="L16" s="9"/>
      <c r="M16" s="9">
        <f t="shared" si="0"/>
        <v>0</v>
      </c>
    </row>
    <row r="17" spans="1:16">
      <c r="A17" s="207">
        <v>10</v>
      </c>
      <c r="B17" s="9"/>
      <c r="C17" s="9"/>
      <c r="D17" s="9"/>
      <c r="E17" s="9"/>
      <c r="F17" s="9">
        <f t="shared" si="1"/>
        <v>0</v>
      </c>
      <c r="G17" s="9">
        <v>0</v>
      </c>
      <c r="H17" s="201"/>
      <c r="I17" s="9"/>
      <c r="J17" s="9">
        <f t="shared" si="2"/>
        <v>0</v>
      </c>
      <c r="K17" s="9"/>
      <c r="L17" s="9"/>
      <c r="M17" s="9">
        <f t="shared" si="0"/>
        <v>0</v>
      </c>
    </row>
    <row r="18" spans="1:16">
      <c r="A18" s="13"/>
      <c r="B18" s="13"/>
    </row>
    <row r="19" spans="1:16">
      <c r="A19" s="13"/>
      <c r="B19" s="13"/>
    </row>
    <row r="21" spans="1:16" ht="18.75">
      <c r="A21" s="381" t="s">
        <v>562</v>
      </c>
      <c r="B21" s="381"/>
      <c r="C21" s="381"/>
      <c r="D21" s="381"/>
      <c r="E21" s="381"/>
      <c r="F21" s="381"/>
      <c r="G21" s="381"/>
      <c r="H21" s="381"/>
      <c r="I21" s="381"/>
      <c r="J21" s="381"/>
      <c r="K21" s="381"/>
    </row>
    <row r="23" spans="1:16">
      <c r="A23" s="67"/>
      <c r="B23" s="67"/>
      <c r="C23" s="67"/>
      <c r="D23" s="67"/>
      <c r="E23" s="141">
        <v>1</v>
      </c>
      <c r="F23" s="139">
        <f>(E23*5%)+E23</f>
        <v>1.05</v>
      </c>
      <c r="G23" s="139">
        <f t="shared" ref="G23:K23" si="3">(F23*5%)+F23</f>
        <v>1.1025</v>
      </c>
      <c r="H23" s="139">
        <f t="shared" si="3"/>
        <v>1.1576250000000001</v>
      </c>
      <c r="I23" s="139">
        <f t="shared" si="3"/>
        <v>1.2155062500000002</v>
      </c>
      <c r="J23" s="139">
        <f t="shared" si="3"/>
        <v>1.2762815625000004</v>
      </c>
      <c r="K23" s="139">
        <f t="shared" si="3"/>
        <v>1.3400956406250004</v>
      </c>
    </row>
    <row r="24" spans="1:16">
      <c r="A24" s="115" t="s">
        <v>0</v>
      </c>
      <c r="B24" s="115" t="s">
        <v>133</v>
      </c>
      <c r="C24" s="115" t="s">
        <v>146</v>
      </c>
      <c r="D24" s="115" t="s">
        <v>153</v>
      </c>
      <c r="E24" s="87" t="s">
        <v>2</v>
      </c>
      <c r="F24" s="87" t="s">
        <v>3</v>
      </c>
      <c r="G24" s="87" t="s">
        <v>4</v>
      </c>
      <c r="H24" s="87" t="s">
        <v>5</v>
      </c>
      <c r="I24" s="87" t="s">
        <v>6</v>
      </c>
      <c r="J24" s="87" t="s">
        <v>169</v>
      </c>
      <c r="K24" s="87" t="s">
        <v>168</v>
      </c>
    </row>
    <row r="25" spans="1:16">
      <c r="A25" s="70"/>
      <c r="B25" s="70"/>
      <c r="C25" s="70"/>
      <c r="D25" s="70"/>
      <c r="E25" s="68"/>
      <c r="F25" s="68"/>
      <c r="G25" s="68"/>
      <c r="H25" s="68"/>
      <c r="I25" s="68"/>
      <c r="J25" s="68"/>
      <c r="K25" s="68"/>
    </row>
    <row r="26" spans="1:16">
      <c r="A26" s="70" t="s">
        <v>127</v>
      </c>
      <c r="B26" s="70"/>
      <c r="C26" s="70"/>
      <c r="D26" s="70"/>
      <c r="E26" s="68"/>
      <c r="F26" s="68"/>
      <c r="G26" s="68"/>
      <c r="H26" s="68"/>
      <c r="I26" s="68"/>
      <c r="J26" s="68"/>
      <c r="K26" s="68"/>
      <c r="P26" s="67"/>
    </row>
    <row r="27" spans="1:16">
      <c r="A27" s="153" t="s">
        <v>441</v>
      </c>
      <c r="B27" s="79"/>
      <c r="C27" s="79"/>
      <c r="D27" s="79"/>
      <c r="E27" s="69"/>
      <c r="F27" s="69"/>
      <c r="G27" s="69"/>
      <c r="H27" s="69"/>
      <c r="I27" s="69"/>
      <c r="J27" s="69"/>
      <c r="K27" s="69"/>
      <c r="P27" s="67"/>
    </row>
    <row r="28" spans="1:16">
      <c r="A28" s="79" t="str">
        <f>B8</f>
        <v>Double Plough</v>
      </c>
      <c r="B28" s="79"/>
      <c r="C28" s="79">
        <f>H8</f>
        <v>0</v>
      </c>
      <c r="D28" s="79">
        <f>K8</f>
        <v>3000</v>
      </c>
      <c r="E28" s="69">
        <f>$C$28*$D$28*E23</f>
        <v>0</v>
      </c>
      <c r="F28" s="69">
        <f t="shared" ref="F28:K28" si="4">$C$28*$D$28*F23</f>
        <v>0</v>
      </c>
      <c r="G28" s="69">
        <f t="shared" si="4"/>
        <v>0</v>
      </c>
      <c r="H28" s="69">
        <f t="shared" si="4"/>
        <v>0</v>
      </c>
      <c r="I28" s="69">
        <f t="shared" si="4"/>
        <v>0</v>
      </c>
      <c r="J28" s="69">
        <f t="shared" si="4"/>
        <v>0</v>
      </c>
      <c r="K28" s="69">
        <f t="shared" si="4"/>
        <v>0</v>
      </c>
      <c r="P28" s="67"/>
    </row>
    <row r="29" spans="1:16">
      <c r="A29" s="79" t="str">
        <f>B9</f>
        <v>Cultivator</v>
      </c>
      <c r="B29" s="79"/>
      <c r="C29" s="79">
        <f t="shared" ref="C29:C38" si="5">H9</f>
        <v>0</v>
      </c>
      <c r="D29" s="79">
        <f>K9</f>
        <v>1800</v>
      </c>
      <c r="E29" s="69">
        <f>$C$29*$D$29*E23</f>
        <v>0</v>
      </c>
      <c r="F29" s="69">
        <f t="shared" ref="F29:K29" si="6">$C$29*$D$29*F23</f>
        <v>0</v>
      </c>
      <c r="G29" s="69">
        <f t="shared" si="6"/>
        <v>0</v>
      </c>
      <c r="H29" s="69">
        <f t="shared" si="6"/>
        <v>0</v>
      </c>
      <c r="I29" s="69">
        <f t="shared" si="6"/>
        <v>0</v>
      </c>
      <c r="J29" s="69">
        <f t="shared" si="6"/>
        <v>0</v>
      </c>
      <c r="K29" s="69">
        <f t="shared" si="6"/>
        <v>0</v>
      </c>
      <c r="P29" s="67"/>
    </row>
    <row r="30" spans="1:16">
      <c r="A30" s="79" t="str">
        <f>B10</f>
        <v>Rotavator</v>
      </c>
      <c r="B30" s="79"/>
      <c r="C30" s="79">
        <f t="shared" si="5"/>
        <v>0</v>
      </c>
      <c r="D30" s="79">
        <f>K10</f>
        <v>1800</v>
      </c>
      <c r="E30" s="69">
        <f>$C$30*$D$30*E23</f>
        <v>0</v>
      </c>
      <c r="F30" s="69">
        <f t="shared" ref="F30:K30" si="7">$C$30*$D$30*F23</f>
        <v>0</v>
      </c>
      <c r="G30" s="69">
        <f t="shared" si="7"/>
        <v>0</v>
      </c>
      <c r="H30" s="69">
        <f t="shared" si="7"/>
        <v>0</v>
      </c>
      <c r="I30" s="69">
        <f t="shared" si="7"/>
        <v>0</v>
      </c>
      <c r="J30" s="69">
        <f t="shared" si="7"/>
        <v>0</v>
      </c>
      <c r="K30" s="69">
        <f t="shared" si="7"/>
        <v>0</v>
      </c>
      <c r="P30" s="67"/>
    </row>
    <row r="31" spans="1:16">
      <c r="A31" s="79" t="str">
        <f>B11</f>
        <v>BBF Seed Sowing Machine</v>
      </c>
      <c r="B31" s="79"/>
      <c r="C31" s="79">
        <f t="shared" si="5"/>
        <v>0</v>
      </c>
      <c r="D31" s="79">
        <f>K11</f>
        <v>1200</v>
      </c>
      <c r="E31" s="69">
        <f>$C$31*$D$31*E23</f>
        <v>0</v>
      </c>
      <c r="F31" s="69">
        <f t="shared" ref="F31:K31" si="8">$C$31*$D$31*F23</f>
        <v>0</v>
      </c>
      <c r="G31" s="69">
        <f t="shared" si="8"/>
        <v>0</v>
      </c>
      <c r="H31" s="69">
        <f t="shared" si="8"/>
        <v>0</v>
      </c>
      <c r="I31" s="69">
        <f t="shared" si="8"/>
        <v>0</v>
      </c>
      <c r="J31" s="69">
        <f t="shared" si="8"/>
        <v>0</v>
      </c>
      <c r="K31" s="69">
        <f t="shared" si="8"/>
        <v>0</v>
      </c>
      <c r="P31" s="67"/>
    </row>
    <row r="32" spans="1:16">
      <c r="A32" s="79" t="str">
        <f>B12</f>
        <v>Mobile Threshing</v>
      </c>
      <c r="B32" s="79"/>
      <c r="C32" s="79">
        <f t="shared" si="5"/>
        <v>0</v>
      </c>
      <c r="D32" s="79">
        <f>K12</f>
        <v>3000</v>
      </c>
      <c r="E32" s="69">
        <f>$C$32*$D$32*E23</f>
        <v>0</v>
      </c>
      <c r="F32" s="69">
        <f t="shared" ref="F32:K32" si="9">$C$32*$D$32*F23</f>
        <v>0</v>
      </c>
      <c r="G32" s="69">
        <f t="shared" si="9"/>
        <v>0</v>
      </c>
      <c r="H32" s="69">
        <f t="shared" si="9"/>
        <v>0</v>
      </c>
      <c r="I32" s="69">
        <f t="shared" si="9"/>
        <v>0</v>
      </c>
      <c r="J32" s="69">
        <f t="shared" si="9"/>
        <v>0</v>
      </c>
      <c r="K32" s="69">
        <f t="shared" si="9"/>
        <v>0</v>
      </c>
      <c r="P32" s="67"/>
    </row>
    <row r="33" spans="1:16">
      <c r="A33" s="79"/>
      <c r="B33" s="79"/>
      <c r="C33" s="79">
        <f t="shared" si="5"/>
        <v>0</v>
      </c>
      <c r="D33" s="79">
        <f t="shared" ref="D33:D38" si="10">K13</f>
        <v>0</v>
      </c>
      <c r="E33" s="69">
        <f>$C$33*$D$33*E23</f>
        <v>0</v>
      </c>
      <c r="F33" s="69">
        <f t="shared" ref="F33:K33" si="11">$C$33*$D$33*F23</f>
        <v>0</v>
      </c>
      <c r="G33" s="69">
        <f t="shared" si="11"/>
        <v>0</v>
      </c>
      <c r="H33" s="69">
        <f t="shared" si="11"/>
        <v>0</v>
      </c>
      <c r="I33" s="69">
        <f t="shared" si="11"/>
        <v>0</v>
      </c>
      <c r="J33" s="69">
        <f t="shared" si="11"/>
        <v>0</v>
      </c>
      <c r="K33" s="69">
        <f t="shared" si="11"/>
        <v>0</v>
      </c>
      <c r="P33" s="67"/>
    </row>
    <row r="34" spans="1:16">
      <c r="A34" s="79"/>
      <c r="B34" s="79"/>
      <c r="C34" s="79">
        <f t="shared" si="5"/>
        <v>0</v>
      </c>
      <c r="D34" s="79">
        <f t="shared" si="10"/>
        <v>0</v>
      </c>
      <c r="E34" s="69">
        <f>$C$34*$D$34*E23</f>
        <v>0</v>
      </c>
      <c r="F34" s="69">
        <f t="shared" ref="F34:K34" si="12">$C$34*$D$34*F23</f>
        <v>0</v>
      </c>
      <c r="G34" s="69">
        <f t="shared" si="12"/>
        <v>0</v>
      </c>
      <c r="H34" s="69">
        <f t="shared" si="12"/>
        <v>0</v>
      </c>
      <c r="I34" s="69">
        <f t="shared" si="12"/>
        <v>0</v>
      </c>
      <c r="J34" s="69">
        <f t="shared" si="12"/>
        <v>0</v>
      </c>
      <c r="K34" s="69">
        <f t="shared" si="12"/>
        <v>0</v>
      </c>
      <c r="P34" s="67"/>
    </row>
    <row r="35" spans="1:16">
      <c r="A35" s="79"/>
      <c r="B35" s="79"/>
      <c r="C35" s="79">
        <f t="shared" si="5"/>
        <v>0</v>
      </c>
      <c r="D35" s="79">
        <f t="shared" si="10"/>
        <v>0</v>
      </c>
      <c r="E35" s="69">
        <f>$C$35*$D$35*E23</f>
        <v>0</v>
      </c>
      <c r="F35" s="69">
        <f t="shared" ref="F35:K35" si="13">$C$35*$D$35*F23</f>
        <v>0</v>
      </c>
      <c r="G35" s="69">
        <f t="shared" si="13"/>
        <v>0</v>
      </c>
      <c r="H35" s="69">
        <f t="shared" si="13"/>
        <v>0</v>
      </c>
      <c r="I35" s="69">
        <f t="shared" si="13"/>
        <v>0</v>
      </c>
      <c r="J35" s="69">
        <f t="shared" si="13"/>
        <v>0</v>
      </c>
      <c r="K35" s="69">
        <f t="shared" si="13"/>
        <v>0</v>
      </c>
      <c r="P35" s="67"/>
    </row>
    <row r="36" spans="1:16">
      <c r="A36" s="79"/>
      <c r="B36" s="79"/>
      <c r="C36" s="79">
        <f t="shared" si="5"/>
        <v>0</v>
      </c>
      <c r="D36" s="79">
        <f t="shared" si="10"/>
        <v>0</v>
      </c>
      <c r="E36" s="69">
        <f>$C$36*$D$36*E23</f>
        <v>0</v>
      </c>
      <c r="F36" s="69">
        <f t="shared" ref="F36:K36" si="14">$C$36*$D$36*F23</f>
        <v>0</v>
      </c>
      <c r="G36" s="69">
        <f t="shared" si="14"/>
        <v>0</v>
      </c>
      <c r="H36" s="69">
        <f t="shared" si="14"/>
        <v>0</v>
      </c>
      <c r="I36" s="69">
        <f t="shared" si="14"/>
        <v>0</v>
      </c>
      <c r="J36" s="69">
        <f t="shared" si="14"/>
        <v>0</v>
      </c>
      <c r="K36" s="69">
        <f t="shared" si="14"/>
        <v>0</v>
      </c>
      <c r="P36" s="67"/>
    </row>
    <row r="37" spans="1:16">
      <c r="A37" s="79"/>
      <c r="B37" s="79"/>
      <c r="C37" s="79">
        <f t="shared" si="5"/>
        <v>0</v>
      </c>
      <c r="D37" s="79">
        <f t="shared" si="10"/>
        <v>0</v>
      </c>
      <c r="E37" s="69">
        <f>$C$37*$D$37*E23</f>
        <v>0</v>
      </c>
      <c r="F37" s="69">
        <f t="shared" ref="F37:K37" si="15">$C$37*$D$37*F23</f>
        <v>0</v>
      </c>
      <c r="G37" s="69">
        <f t="shared" si="15"/>
        <v>0</v>
      </c>
      <c r="H37" s="69">
        <f t="shared" si="15"/>
        <v>0</v>
      </c>
      <c r="I37" s="69">
        <f t="shared" si="15"/>
        <v>0</v>
      </c>
      <c r="J37" s="69">
        <f t="shared" si="15"/>
        <v>0</v>
      </c>
      <c r="K37" s="69">
        <f t="shared" si="15"/>
        <v>0</v>
      </c>
      <c r="P37" s="67"/>
    </row>
    <row r="38" spans="1:16">
      <c r="A38" s="70"/>
      <c r="B38" s="70"/>
      <c r="C38" s="79">
        <f t="shared" si="5"/>
        <v>0</v>
      </c>
      <c r="D38" s="79">
        <f t="shared" si="10"/>
        <v>0</v>
      </c>
      <c r="E38" s="69">
        <f>$C$38*$D$38*E23</f>
        <v>0</v>
      </c>
      <c r="F38" s="69">
        <f t="shared" ref="F38:K38" si="16">$C$38*$D$38*F23</f>
        <v>0</v>
      </c>
      <c r="G38" s="69">
        <f t="shared" si="16"/>
        <v>0</v>
      </c>
      <c r="H38" s="69">
        <f t="shared" si="16"/>
        <v>0</v>
      </c>
      <c r="I38" s="69">
        <f t="shared" si="16"/>
        <v>0</v>
      </c>
      <c r="J38" s="69">
        <f t="shared" si="16"/>
        <v>0</v>
      </c>
      <c r="K38" s="69">
        <f t="shared" si="16"/>
        <v>0</v>
      </c>
      <c r="P38" s="67"/>
    </row>
    <row r="39" spans="1:16">
      <c r="A39" s="70" t="s">
        <v>143</v>
      </c>
      <c r="B39" s="70"/>
      <c r="C39" s="70"/>
      <c r="D39" s="70"/>
      <c r="E39" s="69">
        <f>SUM(E28:E38)</f>
        <v>0</v>
      </c>
      <c r="F39" s="69">
        <f t="shared" ref="F39:K39" si="17">SUM(F28:F38)</f>
        <v>0</v>
      </c>
      <c r="G39" s="69">
        <f t="shared" si="17"/>
        <v>0</v>
      </c>
      <c r="H39" s="69">
        <f t="shared" si="17"/>
        <v>0</v>
      </c>
      <c r="I39" s="69">
        <f t="shared" si="17"/>
        <v>0</v>
      </c>
      <c r="J39" s="69">
        <f t="shared" si="17"/>
        <v>0</v>
      </c>
      <c r="K39" s="69">
        <f t="shared" si="17"/>
        <v>0</v>
      </c>
      <c r="P39" s="67"/>
    </row>
    <row r="40" spans="1:16">
      <c r="A40" s="68"/>
      <c r="B40" s="68"/>
      <c r="C40" s="68"/>
      <c r="D40" s="68"/>
      <c r="E40" s="69"/>
      <c r="F40" s="69"/>
      <c r="G40" s="69"/>
      <c r="H40" s="69"/>
      <c r="I40" s="69"/>
      <c r="J40" s="69"/>
      <c r="K40" s="69"/>
      <c r="P40" s="67"/>
    </row>
    <row r="41" spans="1:16">
      <c r="A41" s="70" t="s">
        <v>142</v>
      </c>
      <c r="B41" s="70"/>
      <c r="C41" s="70"/>
      <c r="D41" s="70"/>
      <c r="E41" s="69"/>
      <c r="F41" s="69"/>
      <c r="G41" s="69"/>
      <c r="H41" s="69"/>
      <c r="I41" s="69"/>
      <c r="J41" s="69"/>
      <c r="K41" s="69"/>
      <c r="P41" s="67"/>
    </row>
    <row r="42" spans="1:16">
      <c r="A42" s="70" t="s">
        <v>306</v>
      </c>
      <c r="B42" s="70"/>
      <c r="C42" s="70"/>
      <c r="D42" s="70"/>
      <c r="E42" s="69"/>
      <c r="F42" s="69"/>
      <c r="G42" s="69"/>
      <c r="H42" s="69"/>
      <c r="I42" s="69"/>
      <c r="J42" s="69"/>
      <c r="K42" s="69"/>
    </row>
    <row r="43" spans="1:16">
      <c r="A43" s="68" t="s">
        <v>307</v>
      </c>
      <c r="B43" s="68" t="s">
        <v>438</v>
      </c>
      <c r="C43" s="68">
        <f>SUM(J8:J17)</f>
        <v>0</v>
      </c>
      <c r="D43" s="176">
        <v>100</v>
      </c>
      <c r="E43" s="69">
        <f>$C$43*$D$43*E23</f>
        <v>0</v>
      </c>
      <c r="F43" s="69">
        <f t="shared" ref="F43:K43" si="18">$C$43*$D$43*F23</f>
        <v>0</v>
      </c>
      <c r="G43" s="69">
        <f t="shared" si="18"/>
        <v>0</v>
      </c>
      <c r="H43" s="69">
        <f t="shared" si="18"/>
        <v>0</v>
      </c>
      <c r="I43" s="69">
        <f t="shared" si="18"/>
        <v>0</v>
      </c>
      <c r="J43" s="69">
        <f t="shared" si="18"/>
        <v>0</v>
      </c>
      <c r="K43" s="69">
        <f t="shared" si="18"/>
        <v>0</v>
      </c>
    </row>
    <row r="44" spans="1:16">
      <c r="A44" s="68" t="s">
        <v>308</v>
      </c>
      <c r="B44" s="68" t="s">
        <v>440</v>
      </c>
      <c r="C44" s="68">
        <f>SUM(M8:M17)</f>
        <v>0</v>
      </c>
      <c r="D44" s="176">
        <v>300</v>
      </c>
      <c r="E44" s="69">
        <f>$C$44*$D$44*E23</f>
        <v>0</v>
      </c>
      <c r="F44" s="69">
        <f t="shared" ref="F44:K44" si="19">$C$44*$D$44*F23</f>
        <v>0</v>
      </c>
      <c r="G44" s="69">
        <f t="shared" si="19"/>
        <v>0</v>
      </c>
      <c r="H44" s="69">
        <f t="shared" si="19"/>
        <v>0</v>
      </c>
      <c r="I44" s="69">
        <f t="shared" si="19"/>
        <v>0</v>
      </c>
      <c r="J44" s="69">
        <f t="shared" si="19"/>
        <v>0</v>
      </c>
      <c r="K44" s="69">
        <f t="shared" si="19"/>
        <v>0</v>
      </c>
    </row>
    <row r="45" spans="1:16">
      <c r="A45" s="68"/>
      <c r="B45" s="68"/>
      <c r="C45" s="176"/>
      <c r="D45" s="176"/>
      <c r="E45" s="69"/>
      <c r="F45" s="69"/>
      <c r="G45" s="69"/>
      <c r="H45" s="69"/>
      <c r="I45" s="69"/>
      <c r="J45" s="69"/>
      <c r="K45" s="69"/>
    </row>
    <row r="46" spans="1:16">
      <c r="A46" s="68"/>
      <c r="B46" s="68"/>
      <c r="C46" s="176"/>
      <c r="D46" s="176"/>
      <c r="E46" s="69"/>
      <c r="F46" s="69"/>
      <c r="G46" s="69"/>
      <c r="H46" s="69"/>
      <c r="I46" s="69"/>
      <c r="J46" s="69"/>
      <c r="K46" s="69"/>
    </row>
    <row r="47" spans="1:16">
      <c r="A47" s="68"/>
      <c r="B47" s="68"/>
      <c r="C47" s="176"/>
      <c r="D47" s="176"/>
      <c r="E47" s="69"/>
      <c r="F47" s="69"/>
      <c r="G47" s="69"/>
      <c r="H47" s="69"/>
      <c r="I47" s="69"/>
      <c r="J47" s="69"/>
      <c r="K47" s="69"/>
    </row>
    <row r="48" spans="1:16">
      <c r="A48" s="68"/>
      <c r="B48" s="68"/>
      <c r="C48" s="176"/>
      <c r="D48" s="176"/>
      <c r="E48" s="69"/>
      <c r="F48" s="69"/>
      <c r="G48" s="69"/>
      <c r="H48" s="69"/>
      <c r="I48" s="69"/>
      <c r="J48" s="69"/>
      <c r="K48" s="69"/>
    </row>
    <row r="49" spans="1:12">
      <c r="A49" s="70" t="s">
        <v>318</v>
      </c>
      <c r="B49" s="70"/>
      <c r="C49" s="177"/>
      <c r="D49" s="177"/>
      <c r="E49" s="84">
        <f>SUM(E43:E48)</f>
        <v>0</v>
      </c>
      <c r="F49" s="84">
        <f t="shared" ref="F49:K49" si="20">SUM(F43:F48)</f>
        <v>0</v>
      </c>
      <c r="G49" s="84">
        <f t="shared" si="20"/>
        <v>0</v>
      </c>
      <c r="H49" s="84">
        <f t="shared" si="20"/>
        <v>0</v>
      </c>
      <c r="I49" s="84">
        <f t="shared" si="20"/>
        <v>0</v>
      </c>
      <c r="J49" s="84">
        <f t="shared" si="20"/>
        <v>0</v>
      </c>
      <c r="K49" s="84">
        <f t="shared" si="20"/>
        <v>0</v>
      </c>
    </row>
    <row r="50" spans="1:12">
      <c r="A50" s="70"/>
      <c r="B50" s="70"/>
      <c r="C50" s="177"/>
      <c r="D50" s="177"/>
      <c r="E50" s="84"/>
      <c r="F50" s="84"/>
      <c r="G50" s="84"/>
      <c r="H50" s="84"/>
      <c r="I50" s="84"/>
      <c r="J50" s="84"/>
      <c r="K50" s="84"/>
    </row>
    <row r="51" spans="1:12">
      <c r="A51" s="153" t="s">
        <v>309</v>
      </c>
      <c r="B51" s="153"/>
      <c r="C51" s="186"/>
      <c r="D51" s="186"/>
      <c r="E51" s="69"/>
      <c r="F51" s="69"/>
      <c r="G51" s="69"/>
      <c r="H51" s="69"/>
      <c r="I51" s="69"/>
      <c r="J51" s="69"/>
      <c r="K51" s="69"/>
    </row>
    <row r="52" spans="1:12">
      <c r="A52" s="79" t="s">
        <v>310</v>
      </c>
      <c r="B52" s="68" t="s">
        <v>387</v>
      </c>
      <c r="C52" s="186">
        <v>1</v>
      </c>
      <c r="D52" s="187"/>
      <c r="E52" s="69">
        <f t="shared" ref="E52:K52" si="21">$C$52*$D$52*12*E23</f>
        <v>0</v>
      </c>
      <c r="F52" s="69">
        <f t="shared" si="21"/>
        <v>0</v>
      </c>
      <c r="G52" s="69">
        <f t="shared" si="21"/>
        <v>0</v>
      </c>
      <c r="H52" s="69">
        <f t="shared" si="21"/>
        <v>0</v>
      </c>
      <c r="I52" s="69">
        <f t="shared" si="21"/>
        <v>0</v>
      </c>
      <c r="J52" s="69">
        <f t="shared" si="21"/>
        <v>0</v>
      </c>
      <c r="K52" s="69">
        <f t="shared" si="21"/>
        <v>0</v>
      </c>
    </row>
    <row r="53" spans="1:12">
      <c r="A53" s="79"/>
      <c r="B53" s="79"/>
      <c r="C53" s="186"/>
      <c r="D53" s="187"/>
      <c r="E53" s="69"/>
      <c r="F53" s="69"/>
      <c r="G53" s="69"/>
      <c r="H53" s="69"/>
      <c r="I53" s="69"/>
      <c r="J53" s="69"/>
      <c r="K53" s="69"/>
    </row>
    <row r="54" spans="1:12">
      <c r="A54" s="79"/>
      <c r="B54" s="79"/>
      <c r="C54" s="186"/>
      <c r="D54" s="187"/>
      <c r="E54" s="69"/>
      <c r="F54" s="69"/>
      <c r="G54" s="69"/>
      <c r="H54" s="69"/>
      <c r="I54" s="69"/>
      <c r="J54" s="69"/>
      <c r="K54" s="69"/>
    </row>
    <row r="55" spans="1:12">
      <c r="A55" s="79"/>
      <c r="B55" s="79"/>
      <c r="C55" s="186"/>
      <c r="D55" s="187"/>
      <c r="E55" s="69"/>
      <c r="F55" s="69"/>
      <c r="G55" s="69"/>
      <c r="H55" s="69"/>
      <c r="I55" s="69"/>
      <c r="J55" s="69"/>
      <c r="K55" s="69"/>
    </row>
    <row r="56" spans="1:12">
      <c r="A56" s="70" t="s">
        <v>322</v>
      </c>
      <c r="B56" s="70"/>
      <c r="C56" s="70"/>
      <c r="D56" s="70"/>
      <c r="E56" s="84">
        <f>SUM(E52:E55)</f>
        <v>0</v>
      </c>
      <c r="F56" s="84">
        <f t="shared" ref="F56:K56" si="22">SUM(F52:F55)</f>
        <v>0</v>
      </c>
      <c r="G56" s="84">
        <f t="shared" si="22"/>
        <v>0</v>
      </c>
      <c r="H56" s="84">
        <f t="shared" si="22"/>
        <v>0</v>
      </c>
      <c r="I56" s="84">
        <f t="shared" si="22"/>
        <v>0</v>
      </c>
      <c r="J56" s="84">
        <f t="shared" si="22"/>
        <v>0</v>
      </c>
      <c r="K56" s="84">
        <f t="shared" si="22"/>
        <v>0</v>
      </c>
    </row>
    <row r="57" spans="1:12">
      <c r="A57" s="70" t="s">
        <v>130</v>
      </c>
      <c r="B57" s="70"/>
      <c r="C57" s="70"/>
      <c r="D57" s="70"/>
      <c r="E57" s="84">
        <f>E49+E56</f>
        <v>0</v>
      </c>
      <c r="F57" s="84">
        <f t="shared" ref="F57:K57" si="23">F49+F56</f>
        <v>0</v>
      </c>
      <c r="G57" s="84">
        <f t="shared" si="23"/>
        <v>0</v>
      </c>
      <c r="H57" s="84">
        <f t="shared" si="23"/>
        <v>0</v>
      </c>
      <c r="I57" s="84">
        <f t="shared" si="23"/>
        <v>0</v>
      </c>
      <c r="J57" s="84">
        <f t="shared" si="23"/>
        <v>0</v>
      </c>
      <c r="K57" s="84">
        <f t="shared" si="23"/>
        <v>0</v>
      </c>
    </row>
    <row r="58" spans="1:12">
      <c r="A58" s="68"/>
      <c r="B58" s="68"/>
      <c r="C58" s="68"/>
      <c r="D58" s="68"/>
      <c r="E58" s="69"/>
      <c r="F58" s="69"/>
      <c r="G58" s="69"/>
      <c r="H58" s="69"/>
      <c r="I58" s="69"/>
      <c r="J58" s="69"/>
      <c r="K58" s="69"/>
    </row>
    <row r="59" spans="1:12">
      <c r="A59" s="70" t="s">
        <v>313</v>
      </c>
      <c r="B59" s="70"/>
      <c r="C59" s="70"/>
      <c r="D59" s="70"/>
      <c r="E59" s="84">
        <f t="shared" ref="E59:K59" si="24">E39-E57</f>
        <v>0</v>
      </c>
      <c r="F59" s="84">
        <f t="shared" si="24"/>
        <v>0</v>
      </c>
      <c r="G59" s="84">
        <f t="shared" si="24"/>
        <v>0</v>
      </c>
      <c r="H59" s="84">
        <f t="shared" si="24"/>
        <v>0</v>
      </c>
      <c r="I59" s="84">
        <f t="shared" si="24"/>
        <v>0</v>
      </c>
      <c r="J59" s="84">
        <f t="shared" si="24"/>
        <v>0</v>
      </c>
      <c r="K59" s="84">
        <f t="shared" si="24"/>
        <v>0</v>
      </c>
    </row>
    <row r="60" spans="1:12">
      <c r="A60" s="85"/>
      <c r="B60" s="85"/>
      <c r="C60" s="85"/>
      <c r="D60" s="85"/>
      <c r="E60" s="197"/>
      <c r="F60" s="197"/>
      <c r="G60" s="197"/>
      <c r="H60" s="197"/>
      <c r="I60" s="197"/>
      <c r="J60" s="197"/>
      <c r="K60" s="197"/>
    </row>
    <row r="61" spans="1:12">
      <c r="A61" s="67"/>
      <c r="B61" s="67"/>
      <c r="C61" s="85"/>
      <c r="D61" s="85"/>
      <c r="E61" s="197"/>
      <c r="F61" s="197"/>
      <c r="G61" s="197"/>
      <c r="H61" s="197"/>
      <c r="I61" s="197"/>
      <c r="J61" s="197"/>
      <c r="K61" s="197"/>
    </row>
    <row r="62" spans="1:12">
      <c r="A62" s="384" t="s">
        <v>413</v>
      </c>
      <c r="B62" s="384"/>
      <c r="C62" s="384"/>
      <c r="D62" s="384"/>
      <c r="E62" s="384"/>
      <c r="F62" s="384"/>
      <c r="G62" s="384"/>
      <c r="H62" s="384"/>
      <c r="I62" s="384"/>
      <c r="J62" s="384"/>
      <c r="K62" s="384"/>
      <c r="L62" s="384"/>
    </row>
    <row r="65" spans="1:2">
      <c r="A65" t="s">
        <v>508</v>
      </c>
    </row>
    <row r="66" spans="1:2">
      <c r="A66">
        <v>1</v>
      </c>
      <c r="B66" t="s">
        <v>521</v>
      </c>
    </row>
    <row r="67" spans="1:2">
      <c r="A67">
        <v>2</v>
      </c>
      <c r="B67" t="s">
        <v>522</v>
      </c>
    </row>
    <row r="68" spans="1:2">
      <c r="A68">
        <v>3</v>
      </c>
      <c r="B68" s="67" t="s">
        <v>569</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topLeftCell="A277" zoomScale="80" zoomScaleSheetLayoutView="80" workbookViewId="0">
      <selection activeCell="C282" sqref="C282"/>
    </sheetView>
  </sheetViews>
  <sheetFormatPr defaultRowHeight="15"/>
  <cols>
    <col min="1" max="1" width="41.28515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28515625" bestFit="1" customWidth="1"/>
    <col min="18" max="20" width="9.42578125" bestFit="1" customWidth="1"/>
    <col min="22" max="22" width="9.42578125" bestFit="1" customWidth="1"/>
  </cols>
  <sheetData>
    <row r="2" spans="1:9" ht="18.75">
      <c r="A2" s="381" t="s">
        <v>563</v>
      </c>
      <c r="B2" s="381"/>
      <c r="C2" s="381"/>
      <c r="D2" s="381"/>
      <c r="E2" s="381"/>
      <c r="F2" s="381"/>
      <c r="G2" s="381"/>
      <c r="H2" s="381"/>
      <c r="I2" s="381"/>
    </row>
    <row r="4" spans="1:9">
      <c r="A4" s="67"/>
      <c r="B4" s="67"/>
      <c r="C4" s="67"/>
      <c r="D4" s="67"/>
      <c r="E4" s="67"/>
      <c r="F4" s="67"/>
      <c r="G4" s="67"/>
      <c r="H4" s="67"/>
      <c r="I4" s="67"/>
    </row>
    <row r="5" spans="1:9">
      <c r="A5" s="67"/>
      <c r="B5" s="67"/>
      <c r="C5" s="67"/>
      <c r="D5" s="67"/>
      <c r="E5" s="67"/>
      <c r="F5" s="67"/>
      <c r="G5" s="67"/>
      <c r="H5" s="67"/>
      <c r="I5" s="67"/>
    </row>
    <row r="6" spans="1:9">
      <c r="A6" s="115" t="s">
        <v>128</v>
      </c>
      <c r="B6" s="115"/>
      <c r="C6" s="87" t="s">
        <v>2</v>
      </c>
      <c r="D6" s="87" t="s">
        <v>3</v>
      </c>
      <c r="E6" s="87" t="s">
        <v>4</v>
      </c>
      <c r="F6" s="87" t="s">
        <v>5</v>
      </c>
      <c r="G6" s="87" t="s">
        <v>6</v>
      </c>
      <c r="H6" s="87" t="s">
        <v>169</v>
      </c>
      <c r="I6" s="87" t="s">
        <v>168</v>
      </c>
    </row>
    <row r="7" spans="1:9">
      <c r="A7" s="70" t="s">
        <v>523</v>
      </c>
      <c r="B7" s="68"/>
      <c r="C7" s="68"/>
      <c r="D7" s="68"/>
      <c r="E7" s="68"/>
      <c r="F7" s="68"/>
      <c r="G7" s="68"/>
      <c r="H7" s="68"/>
      <c r="I7" s="68"/>
    </row>
    <row r="8" spans="1:9">
      <c r="A8" s="70" t="s">
        <v>178</v>
      </c>
      <c r="B8" s="158"/>
      <c r="C8" s="185"/>
      <c r="D8" s="185"/>
      <c r="E8" s="185"/>
      <c r="F8" s="185"/>
      <c r="G8" s="185"/>
      <c r="H8" s="185"/>
      <c r="I8" s="185"/>
    </row>
    <row r="9" spans="1:9">
      <c r="A9" s="68">
        <f>'10.Grain Production details'!A92</f>
        <v>0</v>
      </c>
      <c r="B9" s="158"/>
      <c r="C9" s="185">
        <f>'10.Grain Production details'!B92</f>
        <v>0</v>
      </c>
      <c r="D9" s="185">
        <f>'10.Grain Production details'!C92</f>
        <v>0</v>
      </c>
      <c r="E9" s="185">
        <f>'10.Grain Production details'!D92</f>
        <v>0</v>
      </c>
      <c r="F9" s="185">
        <f>'10.Grain Production details'!E92</f>
        <v>0</v>
      </c>
      <c r="G9" s="185">
        <f>'10.Grain Production details'!F92</f>
        <v>0</v>
      </c>
      <c r="H9" s="185">
        <f>'10.Grain Production details'!G92</f>
        <v>0</v>
      </c>
      <c r="I9" s="185">
        <f>'10.Grain Production details'!H92</f>
        <v>0</v>
      </c>
    </row>
    <row r="10" spans="1:9">
      <c r="A10" s="68">
        <f>'10.Grain Production details'!A93</f>
        <v>0</v>
      </c>
      <c r="B10" s="158"/>
      <c r="C10" s="185">
        <f>'10.Grain Production details'!B93</f>
        <v>0</v>
      </c>
      <c r="D10" s="185">
        <f>'10.Grain Production details'!C93</f>
        <v>0</v>
      </c>
      <c r="E10" s="185">
        <f>'10.Grain Production details'!D93</f>
        <v>0</v>
      </c>
      <c r="F10" s="185">
        <f>'10.Grain Production details'!E93</f>
        <v>0</v>
      </c>
      <c r="G10" s="185">
        <f>'10.Grain Production details'!F93</f>
        <v>0</v>
      </c>
      <c r="H10" s="185">
        <f>'10.Grain Production details'!G93</f>
        <v>0</v>
      </c>
      <c r="I10" s="185">
        <f>'10.Grain Production details'!H93</f>
        <v>0</v>
      </c>
    </row>
    <row r="11" spans="1:9">
      <c r="A11" s="68">
        <f>'10.Grain Production details'!A94</f>
        <v>0</v>
      </c>
      <c r="B11" s="158"/>
      <c r="C11" s="185">
        <f>'10.Grain Production details'!B94</f>
        <v>0</v>
      </c>
      <c r="D11" s="185">
        <f>'10.Grain Production details'!C94</f>
        <v>0</v>
      </c>
      <c r="E11" s="185">
        <f>'10.Grain Production details'!D94</f>
        <v>0</v>
      </c>
      <c r="F11" s="185">
        <f>'10.Grain Production details'!E94</f>
        <v>0</v>
      </c>
      <c r="G11" s="185">
        <f>'10.Grain Production details'!F94</f>
        <v>0</v>
      </c>
      <c r="H11" s="185">
        <f>'10.Grain Production details'!G94</f>
        <v>0</v>
      </c>
      <c r="I11" s="185">
        <f>'10.Grain Production details'!H94</f>
        <v>0</v>
      </c>
    </row>
    <row r="12" spans="1:9">
      <c r="A12" s="68">
        <f>'10.Grain Production details'!A95</f>
        <v>0</v>
      </c>
      <c r="B12" s="158"/>
      <c r="C12" s="185">
        <f>'10.Grain Production details'!B95</f>
        <v>0</v>
      </c>
      <c r="D12" s="185">
        <f>'10.Grain Production details'!C95</f>
        <v>0</v>
      </c>
      <c r="E12" s="185">
        <f>'10.Grain Production details'!D95</f>
        <v>0</v>
      </c>
      <c r="F12" s="185">
        <f>'10.Grain Production details'!E95</f>
        <v>0</v>
      </c>
      <c r="G12" s="185">
        <f>'10.Grain Production details'!F95</f>
        <v>0</v>
      </c>
      <c r="H12" s="185">
        <f>'10.Grain Production details'!G95</f>
        <v>0</v>
      </c>
      <c r="I12" s="185">
        <f>'10.Grain Production details'!H95</f>
        <v>0</v>
      </c>
    </row>
    <row r="13" spans="1:9">
      <c r="A13" s="68">
        <f>'10.Grain Production details'!A96</f>
        <v>0</v>
      </c>
      <c r="B13" s="158"/>
      <c r="C13" s="185">
        <f>'10.Grain Production details'!B96</f>
        <v>0</v>
      </c>
      <c r="D13" s="185">
        <f>'10.Grain Production details'!C96</f>
        <v>0</v>
      </c>
      <c r="E13" s="185">
        <f>'10.Grain Production details'!D96</f>
        <v>0</v>
      </c>
      <c r="F13" s="185">
        <f>'10.Grain Production details'!E96</f>
        <v>0</v>
      </c>
      <c r="G13" s="185">
        <f>'10.Grain Production details'!F96</f>
        <v>0</v>
      </c>
      <c r="H13" s="185">
        <f>'10.Grain Production details'!G96</f>
        <v>0</v>
      </c>
      <c r="I13" s="185">
        <f>'10.Grain Production details'!H96</f>
        <v>0</v>
      </c>
    </row>
    <row r="14" spans="1:9">
      <c r="A14" s="68">
        <f>'10.Grain Production details'!A97</f>
        <v>0</v>
      </c>
      <c r="B14" s="158"/>
      <c r="C14" s="185">
        <f>'10.Grain Production details'!B97</f>
        <v>0</v>
      </c>
      <c r="D14" s="185">
        <f>'10.Grain Production details'!C97</f>
        <v>0</v>
      </c>
      <c r="E14" s="185">
        <f>'10.Grain Production details'!D97</f>
        <v>0</v>
      </c>
      <c r="F14" s="185">
        <f>'10.Grain Production details'!E97</f>
        <v>0</v>
      </c>
      <c r="G14" s="185">
        <f>'10.Grain Production details'!F97</f>
        <v>0</v>
      </c>
      <c r="H14" s="185">
        <f>'10.Grain Production details'!G97</f>
        <v>0</v>
      </c>
      <c r="I14" s="185">
        <f>'10.Grain Production details'!H97</f>
        <v>0</v>
      </c>
    </row>
    <row r="15" spans="1:9">
      <c r="A15" s="68">
        <f>'10.Grain Production details'!A98</f>
        <v>0</v>
      </c>
      <c r="B15" s="158"/>
      <c r="C15" s="185">
        <f>'10.Grain Production details'!B98</f>
        <v>0</v>
      </c>
      <c r="D15" s="185">
        <f>'10.Grain Production details'!C98</f>
        <v>0</v>
      </c>
      <c r="E15" s="185">
        <f>'10.Grain Production details'!D98</f>
        <v>0</v>
      </c>
      <c r="F15" s="185">
        <f>'10.Grain Production details'!E98</f>
        <v>0</v>
      </c>
      <c r="G15" s="185">
        <f>'10.Grain Production details'!F98</f>
        <v>0</v>
      </c>
      <c r="H15" s="185">
        <f>'10.Grain Production details'!G98</f>
        <v>0</v>
      </c>
      <c r="I15" s="185">
        <f>'10.Grain Production details'!H98</f>
        <v>0</v>
      </c>
    </row>
    <row r="16" spans="1:9">
      <c r="A16" s="68">
        <f>'10.Grain Production details'!A99</f>
        <v>0</v>
      </c>
      <c r="B16" s="158"/>
      <c r="C16" s="185">
        <f>'10.Grain Production details'!B99</f>
        <v>0</v>
      </c>
      <c r="D16" s="185">
        <f>'10.Grain Production details'!C99</f>
        <v>0</v>
      </c>
      <c r="E16" s="185">
        <f>'10.Grain Production details'!D99</f>
        <v>0</v>
      </c>
      <c r="F16" s="185">
        <f>'10.Grain Production details'!E99</f>
        <v>0</v>
      </c>
      <c r="G16" s="185">
        <f>'10.Grain Production details'!F99</f>
        <v>0</v>
      </c>
      <c r="H16" s="185">
        <f>'10.Grain Production details'!G99</f>
        <v>0</v>
      </c>
      <c r="I16" s="185">
        <f>'10.Grain Production details'!H99</f>
        <v>0</v>
      </c>
    </row>
    <row r="17" spans="1:9">
      <c r="A17" s="70" t="s">
        <v>182</v>
      </c>
      <c r="B17" s="158"/>
      <c r="C17" s="185"/>
      <c r="D17" s="185"/>
      <c r="E17" s="185"/>
      <c r="F17" s="185"/>
      <c r="G17" s="185"/>
      <c r="H17" s="185"/>
      <c r="I17" s="185"/>
    </row>
    <row r="18" spans="1:9">
      <c r="A18" s="68">
        <f>'10.Grain Production details'!A101</f>
        <v>0</v>
      </c>
      <c r="B18" s="158"/>
      <c r="C18" s="185">
        <f>'10.Grain Production details'!B101</f>
        <v>0</v>
      </c>
      <c r="D18" s="185">
        <f>'10.Grain Production details'!C101</f>
        <v>0</v>
      </c>
      <c r="E18" s="185">
        <f>'10.Grain Production details'!D101</f>
        <v>0</v>
      </c>
      <c r="F18" s="185">
        <f>'10.Grain Production details'!E101</f>
        <v>0</v>
      </c>
      <c r="G18" s="185">
        <f>'10.Grain Production details'!F101</f>
        <v>0</v>
      </c>
      <c r="H18" s="185">
        <f>'10.Grain Production details'!G101</f>
        <v>0</v>
      </c>
      <c r="I18" s="185">
        <f>'10.Grain Production details'!H101</f>
        <v>0</v>
      </c>
    </row>
    <row r="19" spans="1:9">
      <c r="A19" s="68">
        <f>'10.Grain Production details'!A102</f>
        <v>0</v>
      </c>
      <c r="B19" s="158"/>
      <c r="C19" s="185">
        <f>'10.Grain Production details'!B102</f>
        <v>0</v>
      </c>
      <c r="D19" s="185">
        <f>'10.Grain Production details'!C102</f>
        <v>0</v>
      </c>
      <c r="E19" s="185">
        <f>'10.Grain Production details'!D102</f>
        <v>0</v>
      </c>
      <c r="F19" s="185">
        <f>'10.Grain Production details'!E102</f>
        <v>0</v>
      </c>
      <c r="G19" s="185">
        <f>'10.Grain Production details'!F102</f>
        <v>0</v>
      </c>
      <c r="H19" s="185">
        <f>'10.Grain Production details'!G102</f>
        <v>0</v>
      </c>
      <c r="I19" s="185">
        <f>'10.Grain Production details'!H102</f>
        <v>0</v>
      </c>
    </row>
    <row r="20" spans="1:9">
      <c r="A20" s="68">
        <f>'10.Grain Production details'!A103</f>
        <v>0</v>
      </c>
      <c r="B20" s="158"/>
      <c r="C20" s="185">
        <f>'10.Grain Production details'!B103</f>
        <v>0</v>
      </c>
      <c r="D20" s="185">
        <f>'10.Grain Production details'!C103</f>
        <v>0</v>
      </c>
      <c r="E20" s="185">
        <f>'10.Grain Production details'!D103</f>
        <v>0</v>
      </c>
      <c r="F20" s="185">
        <f>'10.Grain Production details'!E103</f>
        <v>0</v>
      </c>
      <c r="G20" s="185">
        <f>'10.Grain Production details'!F103</f>
        <v>0</v>
      </c>
      <c r="H20" s="185">
        <f>'10.Grain Production details'!G103</f>
        <v>0</v>
      </c>
      <c r="I20" s="185">
        <f>'10.Grain Production details'!H103</f>
        <v>0</v>
      </c>
    </row>
    <row r="21" spans="1:9">
      <c r="A21" s="68">
        <f>'10.Grain Production details'!A104</f>
        <v>0</v>
      </c>
      <c r="B21" s="158"/>
      <c r="C21" s="185">
        <f>'10.Grain Production details'!B104</f>
        <v>0</v>
      </c>
      <c r="D21" s="185">
        <f>'10.Grain Production details'!C104</f>
        <v>0</v>
      </c>
      <c r="E21" s="185">
        <f>'10.Grain Production details'!D104</f>
        <v>0</v>
      </c>
      <c r="F21" s="185">
        <f>'10.Grain Production details'!E104</f>
        <v>0</v>
      </c>
      <c r="G21" s="185">
        <f>'10.Grain Production details'!F104</f>
        <v>0</v>
      </c>
      <c r="H21" s="185">
        <f>'10.Grain Production details'!G104</f>
        <v>0</v>
      </c>
      <c r="I21" s="185">
        <f>'10.Grain Production details'!H104</f>
        <v>0</v>
      </c>
    </row>
    <row r="22" spans="1:9">
      <c r="A22" s="68">
        <f>'10.Grain Production details'!A105</f>
        <v>0</v>
      </c>
      <c r="B22" s="158"/>
      <c r="C22" s="185">
        <f>'10.Grain Production details'!B105</f>
        <v>0</v>
      </c>
      <c r="D22" s="185">
        <f>'10.Grain Production details'!C105</f>
        <v>0</v>
      </c>
      <c r="E22" s="185">
        <f>'10.Grain Production details'!D105</f>
        <v>0</v>
      </c>
      <c r="F22" s="185">
        <f>'10.Grain Production details'!E105</f>
        <v>0</v>
      </c>
      <c r="G22" s="185">
        <f>'10.Grain Production details'!F105</f>
        <v>0</v>
      </c>
      <c r="H22" s="185">
        <f>'10.Grain Production details'!G105</f>
        <v>0</v>
      </c>
      <c r="I22" s="185">
        <f>'10.Grain Production details'!H105</f>
        <v>0</v>
      </c>
    </row>
    <row r="23" spans="1:9">
      <c r="A23" s="68">
        <f>'10.Grain Production details'!A106</f>
        <v>0</v>
      </c>
      <c r="B23" s="158"/>
      <c r="C23" s="185">
        <f>'10.Grain Production details'!B106</f>
        <v>0</v>
      </c>
      <c r="D23" s="185">
        <f>'10.Grain Production details'!C106</f>
        <v>0</v>
      </c>
      <c r="E23" s="185">
        <f>'10.Grain Production details'!D106</f>
        <v>0</v>
      </c>
      <c r="F23" s="185">
        <f>'10.Grain Production details'!E106</f>
        <v>0</v>
      </c>
      <c r="G23" s="185">
        <f>'10.Grain Production details'!F106</f>
        <v>0</v>
      </c>
      <c r="H23" s="185">
        <f>'10.Grain Production details'!G106</f>
        <v>0</v>
      </c>
      <c r="I23" s="185">
        <f>'10.Grain Production details'!H106</f>
        <v>0</v>
      </c>
    </row>
    <row r="24" spans="1:9">
      <c r="A24" s="68">
        <f>'10.Grain Production details'!A107</f>
        <v>0</v>
      </c>
      <c r="B24" s="158"/>
      <c r="C24" s="185">
        <f>'10.Grain Production details'!B107</f>
        <v>0</v>
      </c>
      <c r="D24" s="185">
        <f>'10.Grain Production details'!C107</f>
        <v>0</v>
      </c>
      <c r="E24" s="185">
        <f>'10.Grain Production details'!D107</f>
        <v>0</v>
      </c>
      <c r="F24" s="185">
        <f>'10.Grain Production details'!E107</f>
        <v>0</v>
      </c>
      <c r="G24" s="185">
        <f>'10.Grain Production details'!F107</f>
        <v>0</v>
      </c>
      <c r="H24" s="185">
        <f>'10.Grain Production details'!G107</f>
        <v>0</v>
      </c>
      <c r="I24" s="185">
        <f>'10.Grain Production details'!H107</f>
        <v>0</v>
      </c>
    </row>
    <row r="25" spans="1:9">
      <c r="A25" s="68">
        <f>'10.Grain Production details'!A108</f>
        <v>0</v>
      </c>
      <c r="B25" s="158"/>
      <c r="C25" s="185">
        <f>'10.Grain Production details'!B108</f>
        <v>0</v>
      </c>
      <c r="D25" s="185">
        <f>'10.Grain Production details'!C108</f>
        <v>0</v>
      </c>
      <c r="E25" s="185">
        <f>'10.Grain Production details'!D108</f>
        <v>0</v>
      </c>
      <c r="F25" s="185">
        <f>'10.Grain Production details'!E108</f>
        <v>0</v>
      </c>
      <c r="G25" s="185">
        <f>'10.Grain Production details'!F108</f>
        <v>0</v>
      </c>
      <c r="H25" s="185">
        <f>'10.Grain Production details'!G108</f>
        <v>0</v>
      </c>
      <c r="I25" s="185">
        <f>'10.Grain Production details'!H108</f>
        <v>0</v>
      </c>
    </row>
    <row r="26" spans="1:9">
      <c r="A26" s="70" t="str">
        <f>'10.Grain Production details'!A33</f>
        <v>Summer</v>
      </c>
      <c r="B26" s="158"/>
      <c r="C26" s="185"/>
      <c r="D26" s="185"/>
      <c r="E26" s="185"/>
      <c r="F26" s="185"/>
      <c r="G26" s="185"/>
      <c r="H26" s="185"/>
      <c r="I26" s="185"/>
    </row>
    <row r="27" spans="1:9">
      <c r="A27" s="68">
        <f>'10.Grain Production details'!A109</f>
        <v>0</v>
      </c>
      <c r="B27" s="158"/>
      <c r="C27" s="185">
        <f>'10.Grain Production details'!B110</f>
        <v>0</v>
      </c>
      <c r="D27" s="185">
        <f>'10.Grain Production details'!C110</f>
        <v>0</v>
      </c>
      <c r="E27" s="185">
        <f>'10.Grain Production details'!D110</f>
        <v>0</v>
      </c>
      <c r="F27" s="185">
        <f>'10.Grain Production details'!E110</f>
        <v>0</v>
      </c>
      <c r="G27" s="185">
        <f>'10.Grain Production details'!F110</f>
        <v>0</v>
      </c>
      <c r="H27" s="185">
        <f>'10.Grain Production details'!G110</f>
        <v>0</v>
      </c>
      <c r="I27" s="185">
        <f>'10.Grain Production details'!H110</f>
        <v>0</v>
      </c>
    </row>
    <row r="28" spans="1:9">
      <c r="A28" s="68">
        <f>'10.Grain Production details'!A110</f>
        <v>0</v>
      </c>
      <c r="B28" s="158"/>
      <c r="C28" s="185">
        <f>'10.Grain Production details'!B111</f>
        <v>0</v>
      </c>
      <c r="D28" s="185">
        <f>'10.Grain Production details'!C111</f>
        <v>0</v>
      </c>
      <c r="E28" s="185">
        <f>'10.Grain Production details'!D111</f>
        <v>0</v>
      </c>
      <c r="F28" s="185">
        <f>'10.Grain Production details'!E111</f>
        <v>0</v>
      </c>
      <c r="G28" s="185">
        <f>'10.Grain Production details'!F111</f>
        <v>0</v>
      </c>
      <c r="H28" s="185">
        <f>'10.Grain Production details'!G111</f>
        <v>0</v>
      </c>
      <c r="I28" s="185">
        <f>'10.Grain Production details'!H111</f>
        <v>0</v>
      </c>
    </row>
    <row r="29" spans="1:9">
      <c r="A29" s="68">
        <f>'10.Grain Production details'!A111</f>
        <v>0</v>
      </c>
      <c r="B29" s="158"/>
      <c r="C29" s="185">
        <f>'10.Grain Production details'!B112</f>
        <v>0</v>
      </c>
      <c r="D29" s="185">
        <f>'10.Grain Production details'!C112</f>
        <v>0</v>
      </c>
      <c r="E29" s="185">
        <f>'10.Grain Production details'!D112</f>
        <v>0</v>
      </c>
      <c r="F29" s="185">
        <f>'10.Grain Production details'!E112</f>
        <v>0</v>
      </c>
      <c r="G29" s="185">
        <f>'10.Grain Production details'!F112</f>
        <v>0</v>
      </c>
      <c r="H29" s="185">
        <f>'10.Grain Production details'!G112</f>
        <v>0</v>
      </c>
      <c r="I29" s="185">
        <f>'10.Grain Production details'!H112</f>
        <v>0</v>
      </c>
    </row>
    <row r="30" spans="1:9">
      <c r="A30" s="68">
        <f>'10.Grain Production details'!A112</f>
        <v>0</v>
      </c>
      <c r="B30" s="158"/>
      <c r="C30" s="185">
        <f>'10.Grain Production details'!B113</f>
        <v>0</v>
      </c>
      <c r="D30" s="185">
        <f>'10.Grain Production details'!C113</f>
        <v>0</v>
      </c>
      <c r="E30" s="185">
        <f>'10.Grain Production details'!D113</f>
        <v>0</v>
      </c>
      <c r="F30" s="185">
        <f>'10.Grain Production details'!E113</f>
        <v>0</v>
      </c>
      <c r="G30" s="185">
        <f>'10.Grain Production details'!F113</f>
        <v>0</v>
      </c>
      <c r="H30" s="185">
        <f>'10.Grain Production details'!G113</f>
        <v>0</v>
      </c>
      <c r="I30" s="185">
        <f>'10.Grain Production details'!H113</f>
        <v>0</v>
      </c>
    </row>
    <row r="31" spans="1:9">
      <c r="A31" s="68">
        <f>'10.Grain Production details'!A113</f>
        <v>0</v>
      </c>
      <c r="B31" s="158"/>
      <c r="C31" s="185">
        <f>'10.Grain Production details'!C114</f>
        <v>0</v>
      </c>
      <c r="D31" s="185">
        <f>'10.Grain Production details'!D114</f>
        <v>0</v>
      </c>
      <c r="E31" s="185">
        <f>'10.Grain Production details'!E114</f>
        <v>0</v>
      </c>
      <c r="F31" s="185">
        <f>'10.Grain Production details'!F114</f>
        <v>0</v>
      </c>
      <c r="G31" s="185">
        <f>'10.Grain Production details'!G114</f>
        <v>0</v>
      </c>
      <c r="H31" s="185">
        <f>'10.Grain Production details'!H114</f>
        <v>0</v>
      </c>
      <c r="I31" s="185">
        <f>'10.Grain Production details'!I114</f>
        <v>0</v>
      </c>
    </row>
    <row r="32" spans="1:9">
      <c r="A32" s="70" t="str">
        <f>'11.F&amp;V Crop Production details'!A1:H1</f>
        <v>Fruit  &amp; Vegetables Crop Production Details</v>
      </c>
      <c r="B32" s="158"/>
      <c r="C32" s="185"/>
      <c r="D32" s="185"/>
      <c r="E32" s="185"/>
      <c r="F32" s="185"/>
      <c r="G32" s="185"/>
      <c r="H32" s="185"/>
      <c r="I32" s="185"/>
    </row>
    <row r="33" spans="1:9">
      <c r="A33" s="68" t="e">
        <f>'11.F&amp;V Crop Production details'!A109</f>
        <v>#REF!</v>
      </c>
      <c r="B33" s="158"/>
      <c r="C33" s="185">
        <f>'11.F&amp;V Crop Production details'!B109</f>
        <v>0</v>
      </c>
      <c r="D33" s="185">
        <f>'11.F&amp;V Crop Production details'!C109</f>
        <v>0</v>
      </c>
      <c r="E33" s="185">
        <f>'11.F&amp;V Crop Production details'!D109</f>
        <v>0</v>
      </c>
      <c r="F33" s="185">
        <f>'11.F&amp;V Crop Production details'!E109</f>
        <v>0</v>
      </c>
      <c r="G33" s="185">
        <f>'11.F&amp;V Crop Production details'!F109</f>
        <v>0</v>
      </c>
      <c r="H33" s="185">
        <f>'11.F&amp;V Crop Production details'!G109</f>
        <v>0</v>
      </c>
      <c r="I33" s="185">
        <f>'11.F&amp;V Crop Production details'!H109</f>
        <v>0</v>
      </c>
    </row>
    <row r="34" spans="1:9">
      <c r="A34" s="68" t="str">
        <f>'11.F&amp;V Crop Production details'!A110</f>
        <v>Cashew Nut</v>
      </c>
      <c r="B34" s="158"/>
      <c r="C34" s="185">
        <f>'11.F&amp;V Crop Production details'!B110</f>
        <v>0</v>
      </c>
      <c r="D34" s="185">
        <f>'11.F&amp;V Crop Production details'!C110</f>
        <v>0</v>
      </c>
      <c r="E34" s="185">
        <f>'11.F&amp;V Crop Production details'!D110</f>
        <v>0</v>
      </c>
      <c r="F34" s="185">
        <f>'11.F&amp;V Crop Production details'!E110</f>
        <v>0</v>
      </c>
      <c r="G34" s="185">
        <f>'11.F&amp;V Crop Production details'!F110</f>
        <v>0</v>
      </c>
      <c r="H34" s="185">
        <f>'11.F&amp;V Crop Production details'!G110</f>
        <v>0</v>
      </c>
      <c r="I34" s="185">
        <f>'11.F&amp;V Crop Production details'!H110</f>
        <v>0</v>
      </c>
    </row>
    <row r="35" spans="1:9">
      <c r="A35" s="68" t="str">
        <f>'11.F&amp;V Crop Production details'!A111</f>
        <v>Raw Cashew Nut</v>
      </c>
      <c r="B35" s="158"/>
      <c r="C35" s="185">
        <f>'11.F&amp;V Crop Production details'!B111</f>
        <v>0</v>
      </c>
      <c r="D35" s="185">
        <f>'11.F&amp;V Crop Production details'!C111</f>
        <v>0</v>
      </c>
      <c r="E35" s="185">
        <f>'11.F&amp;V Crop Production details'!D111</f>
        <v>0</v>
      </c>
      <c r="F35" s="185">
        <f>'11.F&amp;V Crop Production details'!E111</f>
        <v>0</v>
      </c>
      <c r="G35" s="185">
        <f>'11.F&amp;V Crop Production details'!F111</f>
        <v>0</v>
      </c>
      <c r="H35" s="185">
        <f>'11.F&amp;V Crop Production details'!G111</f>
        <v>0</v>
      </c>
      <c r="I35" s="185">
        <f>'11.F&amp;V Crop Production details'!H111</f>
        <v>0</v>
      </c>
    </row>
    <row r="36" spans="1:9">
      <c r="A36" s="68">
        <f>'11.F&amp;V Crop Production details'!A112</f>
        <v>0</v>
      </c>
      <c r="B36" s="158"/>
      <c r="C36" s="185">
        <f>'11.F&amp;V Crop Production details'!B112</f>
        <v>0</v>
      </c>
      <c r="D36" s="185">
        <f>'11.F&amp;V Crop Production details'!C112</f>
        <v>0</v>
      </c>
      <c r="E36" s="185">
        <f>'11.F&amp;V Crop Production details'!D112</f>
        <v>0</v>
      </c>
      <c r="F36" s="185">
        <f>'11.F&amp;V Crop Production details'!E112</f>
        <v>0</v>
      </c>
      <c r="G36" s="185">
        <f>'11.F&amp;V Crop Production details'!F112</f>
        <v>0</v>
      </c>
      <c r="H36" s="185">
        <f>'11.F&amp;V Crop Production details'!G112</f>
        <v>0</v>
      </c>
      <c r="I36" s="185">
        <f>'11.F&amp;V Crop Production details'!H112</f>
        <v>0</v>
      </c>
    </row>
    <row r="37" spans="1:9">
      <c r="A37" s="68">
        <f>'11.F&amp;V Crop Production details'!A113</f>
        <v>0</v>
      </c>
      <c r="B37" s="158"/>
      <c r="C37" s="185">
        <f>'11.F&amp;V Crop Production details'!B113</f>
        <v>0</v>
      </c>
      <c r="D37" s="185">
        <f>'11.F&amp;V Crop Production details'!C113</f>
        <v>0</v>
      </c>
      <c r="E37" s="185">
        <f>'11.F&amp;V Crop Production details'!D113</f>
        <v>0</v>
      </c>
      <c r="F37" s="185">
        <f>'11.F&amp;V Crop Production details'!E113</f>
        <v>0</v>
      </c>
      <c r="G37" s="185">
        <f>'11.F&amp;V Crop Production details'!F113</f>
        <v>0</v>
      </c>
      <c r="H37" s="185">
        <f>'11.F&amp;V Crop Production details'!G113</f>
        <v>0</v>
      </c>
      <c r="I37" s="185">
        <f>'11.F&amp;V Crop Production details'!H113</f>
        <v>0</v>
      </c>
    </row>
    <row r="38" spans="1:9">
      <c r="A38" s="68">
        <f>'11.F&amp;V Crop Production details'!A114</f>
        <v>0</v>
      </c>
      <c r="B38" s="158"/>
      <c r="C38" s="185">
        <f>'11.F&amp;V Crop Production details'!B114</f>
        <v>0</v>
      </c>
      <c r="D38" s="185">
        <f>'11.F&amp;V Crop Production details'!C114</f>
        <v>0</v>
      </c>
      <c r="E38" s="185">
        <f>'11.F&amp;V Crop Production details'!D114</f>
        <v>0</v>
      </c>
      <c r="F38" s="185">
        <f>'11.F&amp;V Crop Production details'!E114</f>
        <v>0</v>
      </c>
      <c r="G38" s="185">
        <f>'11.F&amp;V Crop Production details'!F114</f>
        <v>0</v>
      </c>
      <c r="H38" s="185">
        <f>'11.F&amp;V Crop Production details'!G114</f>
        <v>0</v>
      </c>
      <c r="I38" s="185">
        <f>'11.F&amp;V Crop Production details'!H114</f>
        <v>0</v>
      </c>
    </row>
    <row r="39" spans="1:9">
      <c r="A39" s="68">
        <f>'11.F&amp;V Crop Production details'!A115</f>
        <v>0</v>
      </c>
      <c r="B39" s="158"/>
      <c r="C39" s="185">
        <f>'11.F&amp;V Crop Production details'!B115</f>
        <v>0</v>
      </c>
      <c r="D39" s="185">
        <f>'11.F&amp;V Crop Production details'!C115</f>
        <v>0</v>
      </c>
      <c r="E39" s="185">
        <f>'11.F&amp;V Crop Production details'!D115</f>
        <v>0</v>
      </c>
      <c r="F39" s="185">
        <f>'11.F&amp;V Crop Production details'!E115</f>
        <v>0</v>
      </c>
      <c r="G39" s="185">
        <f>'11.F&amp;V Crop Production details'!F115</f>
        <v>0</v>
      </c>
      <c r="H39" s="185">
        <f>'11.F&amp;V Crop Production details'!G115</f>
        <v>0</v>
      </c>
      <c r="I39" s="185">
        <f>'11.F&amp;V Crop Production details'!H115</f>
        <v>0</v>
      </c>
    </row>
    <row r="40" spans="1:9">
      <c r="A40" s="68">
        <f>'11.F&amp;V Crop Production details'!A116</f>
        <v>0</v>
      </c>
      <c r="B40" s="158"/>
      <c r="C40" s="185">
        <f>'11.F&amp;V Crop Production details'!B116</f>
        <v>0</v>
      </c>
      <c r="D40" s="185">
        <f>'11.F&amp;V Crop Production details'!C116</f>
        <v>0</v>
      </c>
      <c r="E40" s="185">
        <f>'11.F&amp;V Crop Production details'!D116</f>
        <v>0</v>
      </c>
      <c r="F40" s="185">
        <f>'11.F&amp;V Crop Production details'!E116</f>
        <v>0</v>
      </c>
      <c r="G40" s="185">
        <f>'11.F&amp;V Crop Production details'!F116</f>
        <v>0</v>
      </c>
      <c r="H40" s="185">
        <f>'11.F&amp;V Crop Production details'!G116</f>
        <v>0</v>
      </c>
      <c r="I40" s="185">
        <f>'11.F&amp;V Crop Production details'!H116</f>
        <v>0</v>
      </c>
    </row>
    <row r="41" spans="1:9">
      <c r="A41" s="68">
        <f>'11.F&amp;V Crop Production details'!A117</f>
        <v>0</v>
      </c>
      <c r="B41" s="158"/>
      <c r="C41" s="185">
        <f>'11.F&amp;V Crop Production details'!B117</f>
        <v>0</v>
      </c>
      <c r="D41" s="185">
        <f>'11.F&amp;V Crop Production details'!C117</f>
        <v>0</v>
      </c>
      <c r="E41" s="185">
        <f>'11.F&amp;V Crop Production details'!D117</f>
        <v>0</v>
      </c>
      <c r="F41" s="185">
        <f>'11.F&amp;V Crop Production details'!E117</f>
        <v>0</v>
      </c>
      <c r="G41" s="185">
        <f>'11.F&amp;V Crop Production details'!F117</f>
        <v>0</v>
      </c>
      <c r="H41" s="185">
        <f>'11.F&amp;V Crop Production details'!G117</f>
        <v>0</v>
      </c>
      <c r="I41" s="185">
        <f>'11.F&amp;V Crop Production details'!H117</f>
        <v>0</v>
      </c>
    </row>
    <row r="42" spans="1:9">
      <c r="A42" s="68">
        <f>'11.F&amp;V Crop Production details'!A118</f>
        <v>0</v>
      </c>
      <c r="B42" s="158"/>
      <c r="C42" s="185">
        <f>'11.F&amp;V Crop Production details'!B118</f>
        <v>0</v>
      </c>
      <c r="D42" s="185">
        <f>'11.F&amp;V Crop Production details'!C118</f>
        <v>0</v>
      </c>
      <c r="E42" s="185">
        <f>'11.F&amp;V Crop Production details'!D118</f>
        <v>0</v>
      </c>
      <c r="F42" s="185">
        <f>'11.F&amp;V Crop Production details'!E118</f>
        <v>0</v>
      </c>
      <c r="G42" s="185">
        <f>'11.F&amp;V Crop Production details'!F118</f>
        <v>0</v>
      </c>
      <c r="H42" s="185">
        <f>'11.F&amp;V Crop Production details'!G118</f>
        <v>0</v>
      </c>
      <c r="I42" s="185">
        <f>'11.F&amp;V Crop Production details'!H118</f>
        <v>0</v>
      </c>
    </row>
    <row r="43" spans="1:9">
      <c r="A43" s="68">
        <f>'11.F&amp;V Crop Production details'!A119</f>
        <v>0</v>
      </c>
      <c r="B43" s="158"/>
      <c r="C43" s="185">
        <f>'11.F&amp;V Crop Production details'!B119</f>
        <v>0</v>
      </c>
      <c r="D43" s="185">
        <f>'11.F&amp;V Crop Production details'!C119</f>
        <v>0</v>
      </c>
      <c r="E43" s="185">
        <f>'11.F&amp;V Crop Production details'!D119</f>
        <v>0</v>
      </c>
      <c r="F43" s="185">
        <f>'11.F&amp;V Crop Production details'!E119</f>
        <v>0</v>
      </c>
      <c r="G43" s="185">
        <f>'11.F&amp;V Crop Production details'!F119</f>
        <v>0</v>
      </c>
      <c r="H43" s="185">
        <f>'11.F&amp;V Crop Production details'!G119</f>
        <v>0</v>
      </c>
      <c r="I43" s="185">
        <f>'11.F&amp;V Crop Production details'!H119</f>
        <v>0</v>
      </c>
    </row>
    <row r="44" spans="1:9">
      <c r="A44" s="68">
        <f>'11.F&amp;V Crop Production details'!A120</f>
        <v>0</v>
      </c>
      <c r="B44" s="158"/>
      <c r="C44" s="185">
        <f>'11.F&amp;V Crop Production details'!B120</f>
        <v>0</v>
      </c>
      <c r="D44" s="185">
        <f>'11.F&amp;V Crop Production details'!C120</f>
        <v>0</v>
      </c>
      <c r="E44" s="185">
        <f>'11.F&amp;V Crop Production details'!D120</f>
        <v>0</v>
      </c>
      <c r="F44" s="185">
        <f>'11.F&amp;V Crop Production details'!E120</f>
        <v>0</v>
      </c>
      <c r="G44" s="185">
        <f>'11.F&amp;V Crop Production details'!F120</f>
        <v>0</v>
      </c>
      <c r="H44" s="185">
        <f>'11.F&amp;V Crop Production details'!G120</f>
        <v>0</v>
      </c>
      <c r="I44" s="185">
        <f>'11.F&amp;V Crop Production details'!H120</f>
        <v>0</v>
      </c>
    </row>
    <row r="45" spans="1:9">
      <c r="A45" s="68">
        <f>'11.F&amp;V Crop Production details'!A121</f>
        <v>0</v>
      </c>
      <c r="B45" s="158"/>
      <c r="C45" s="185">
        <f>'11.F&amp;V Crop Production details'!B121</f>
        <v>0</v>
      </c>
      <c r="D45" s="185">
        <f>'11.F&amp;V Crop Production details'!C121</f>
        <v>0</v>
      </c>
      <c r="E45" s="185">
        <f>'11.F&amp;V Crop Production details'!D121</f>
        <v>0</v>
      </c>
      <c r="F45" s="185">
        <f>'11.F&amp;V Crop Production details'!E121</f>
        <v>0</v>
      </c>
      <c r="G45" s="185">
        <f>'11.F&amp;V Crop Production details'!F121</f>
        <v>0</v>
      </c>
      <c r="H45" s="185">
        <f>'11.F&amp;V Crop Production details'!G121</f>
        <v>0</v>
      </c>
      <c r="I45" s="185">
        <f>'11.F&amp;V Crop Production details'!H121</f>
        <v>0</v>
      </c>
    </row>
    <row r="46" spans="1:9">
      <c r="A46" s="68">
        <f>'11.F&amp;V Crop Production details'!A122</f>
        <v>0</v>
      </c>
      <c r="B46" s="158"/>
      <c r="C46" s="185">
        <f>'11.F&amp;V Crop Production details'!B122</f>
        <v>0</v>
      </c>
      <c r="D46" s="185">
        <f>'11.F&amp;V Crop Production details'!C122</f>
        <v>0</v>
      </c>
      <c r="E46" s="185">
        <f>'11.F&amp;V Crop Production details'!D122</f>
        <v>0</v>
      </c>
      <c r="F46" s="185">
        <f>'11.F&amp;V Crop Production details'!E122</f>
        <v>0</v>
      </c>
      <c r="G46" s="185">
        <f>'11.F&amp;V Crop Production details'!F122</f>
        <v>0</v>
      </c>
      <c r="H46" s="185">
        <f>'11.F&amp;V Crop Production details'!G122</f>
        <v>0</v>
      </c>
      <c r="I46" s="185">
        <f>'11.F&amp;V Crop Production details'!H122</f>
        <v>0</v>
      </c>
    </row>
    <row r="47" spans="1:9">
      <c r="A47" s="68">
        <f>'11.F&amp;V Crop Production details'!A123</f>
        <v>0</v>
      </c>
      <c r="B47" s="158"/>
      <c r="C47" s="185">
        <f>'11.F&amp;V Crop Production details'!B123</f>
        <v>0</v>
      </c>
      <c r="D47" s="185">
        <f>'11.F&amp;V Crop Production details'!C123</f>
        <v>0</v>
      </c>
      <c r="E47" s="185">
        <f>'11.F&amp;V Crop Production details'!D123</f>
        <v>0</v>
      </c>
      <c r="F47" s="185">
        <f>'11.F&amp;V Crop Production details'!E123</f>
        <v>0</v>
      </c>
      <c r="G47" s="185">
        <f>'11.F&amp;V Crop Production details'!F123</f>
        <v>0</v>
      </c>
      <c r="H47" s="185">
        <f>'11.F&amp;V Crop Production details'!G123</f>
        <v>0</v>
      </c>
      <c r="I47" s="185">
        <f>'11.F&amp;V Crop Production details'!H123</f>
        <v>0</v>
      </c>
    </row>
    <row r="48" spans="1:9">
      <c r="A48" s="68">
        <f>'11.F&amp;V Crop Production details'!A124</f>
        <v>0</v>
      </c>
      <c r="B48" s="158"/>
      <c r="C48" s="185">
        <f>'11.F&amp;V Crop Production details'!B124</f>
        <v>0</v>
      </c>
      <c r="D48" s="185">
        <f>'11.F&amp;V Crop Production details'!C124</f>
        <v>0</v>
      </c>
      <c r="E48" s="185">
        <f>'11.F&amp;V Crop Production details'!D124</f>
        <v>0</v>
      </c>
      <c r="F48" s="185">
        <f>'11.F&amp;V Crop Production details'!E124</f>
        <v>0</v>
      </c>
      <c r="G48" s="185">
        <f>'11.F&amp;V Crop Production details'!F124</f>
        <v>0</v>
      </c>
      <c r="H48" s="185">
        <f>'11.F&amp;V Crop Production details'!G124</f>
        <v>0</v>
      </c>
      <c r="I48" s="185">
        <f>'11.F&amp;V Crop Production details'!H124</f>
        <v>0</v>
      </c>
    </row>
    <row r="49" spans="1:9">
      <c r="A49" s="68">
        <f>'11.F&amp;V Crop Production details'!A125</f>
        <v>0</v>
      </c>
      <c r="B49" s="158"/>
      <c r="C49" s="185">
        <f>'11.F&amp;V Crop Production details'!B125</f>
        <v>0</v>
      </c>
      <c r="D49" s="185">
        <f>'11.F&amp;V Crop Production details'!C125</f>
        <v>0</v>
      </c>
      <c r="E49" s="185">
        <f>'11.F&amp;V Crop Production details'!D125</f>
        <v>0</v>
      </c>
      <c r="F49" s="185">
        <f>'11.F&amp;V Crop Production details'!E125</f>
        <v>0</v>
      </c>
      <c r="G49" s="185">
        <f>'11.F&amp;V Crop Production details'!F125</f>
        <v>0</v>
      </c>
      <c r="H49" s="185">
        <f>'11.F&amp;V Crop Production details'!G125</f>
        <v>0</v>
      </c>
      <c r="I49" s="185">
        <f>'11.F&amp;V Crop Production details'!H125</f>
        <v>0</v>
      </c>
    </row>
    <row r="50" spans="1:9">
      <c r="A50" s="68">
        <f>'11.F&amp;V Crop Production details'!A126</f>
        <v>0</v>
      </c>
      <c r="B50" s="158"/>
      <c r="C50" s="185">
        <f>'11.F&amp;V Crop Production details'!B126</f>
        <v>0</v>
      </c>
      <c r="D50" s="185">
        <f>'11.F&amp;V Crop Production details'!C126</f>
        <v>0</v>
      </c>
      <c r="E50" s="185">
        <f>'11.F&amp;V Crop Production details'!D126</f>
        <v>0</v>
      </c>
      <c r="F50" s="185">
        <f>'11.F&amp;V Crop Production details'!E126</f>
        <v>0</v>
      </c>
      <c r="G50" s="185">
        <f>'11.F&amp;V Crop Production details'!F126</f>
        <v>0</v>
      </c>
      <c r="H50" s="185">
        <f>'11.F&amp;V Crop Production details'!G126</f>
        <v>0</v>
      </c>
      <c r="I50" s="185">
        <f>'11.F&amp;V Crop Production details'!H126</f>
        <v>0</v>
      </c>
    </row>
    <row r="51" spans="1:9">
      <c r="A51" s="68">
        <f>'11.F&amp;V Crop Production details'!A127</f>
        <v>0</v>
      </c>
      <c r="B51" s="158"/>
      <c r="C51" s="185">
        <f>'11.F&amp;V Crop Production details'!B127</f>
        <v>0</v>
      </c>
      <c r="D51" s="185">
        <f>'11.F&amp;V Crop Production details'!C127</f>
        <v>0</v>
      </c>
      <c r="E51" s="185">
        <f>'11.F&amp;V Crop Production details'!D127</f>
        <v>0</v>
      </c>
      <c r="F51" s="185">
        <f>'11.F&amp;V Crop Production details'!E127</f>
        <v>0</v>
      </c>
      <c r="G51" s="185">
        <f>'11.F&amp;V Crop Production details'!F127</f>
        <v>0</v>
      </c>
      <c r="H51" s="185">
        <f>'11.F&amp;V Crop Production details'!G127</f>
        <v>0</v>
      </c>
      <c r="I51" s="185">
        <f>'11.F&amp;V Crop Production details'!H127</f>
        <v>0</v>
      </c>
    </row>
    <row r="52" spans="1:9">
      <c r="A52" s="68">
        <f>'11.F&amp;V Crop Production details'!A128</f>
        <v>0</v>
      </c>
      <c r="B52" s="158"/>
      <c r="C52" s="185">
        <f>'11.F&amp;V Crop Production details'!B128</f>
        <v>0</v>
      </c>
      <c r="D52" s="185">
        <f>'11.F&amp;V Crop Production details'!C128</f>
        <v>0</v>
      </c>
      <c r="E52" s="185">
        <f>'11.F&amp;V Crop Production details'!D128</f>
        <v>0</v>
      </c>
      <c r="F52" s="185">
        <f>'11.F&amp;V Crop Production details'!E128</f>
        <v>0</v>
      </c>
      <c r="G52" s="185">
        <f>'11.F&amp;V Crop Production details'!F128</f>
        <v>0</v>
      </c>
      <c r="H52" s="185">
        <f>'11.F&amp;V Crop Production details'!G128</f>
        <v>0</v>
      </c>
      <c r="I52" s="185">
        <f>'11.F&amp;V Crop Production details'!H128</f>
        <v>0</v>
      </c>
    </row>
    <row r="53" spans="1:9">
      <c r="A53" s="68">
        <f>'11.F&amp;V Crop Production details'!A129</f>
        <v>0</v>
      </c>
      <c r="B53" s="158"/>
      <c r="C53" s="185">
        <f>'11.F&amp;V Crop Production details'!B129</f>
        <v>0</v>
      </c>
      <c r="D53" s="185">
        <f>'11.F&amp;V Crop Production details'!C129</f>
        <v>0</v>
      </c>
      <c r="E53" s="185">
        <f>'11.F&amp;V Crop Production details'!D129</f>
        <v>0</v>
      </c>
      <c r="F53" s="185">
        <f>'11.F&amp;V Crop Production details'!E129</f>
        <v>0</v>
      </c>
      <c r="G53" s="185">
        <f>'11.F&amp;V Crop Production details'!F129</f>
        <v>0</v>
      </c>
      <c r="H53" s="185">
        <f>'11.F&amp;V Crop Production details'!G129</f>
        <v>0</v>
      </c>
      <c r="I53" s="185">
        <f>'11.F&amp;V Crop Production details'!H129</f>
        <v>0</v>
      </c>
    </row>
    <row r="54" spans="1:9">
      <c r="A54" s="68">
        <f>'11.F&amp;V Crop Production details'!A130</f>
        <v>0</v>
      </c>
      <c r="B54" s="158"/>
      <c r="C54" s="185">
        <f>'11.F&amp;V Crop Production details'!B130</f>
        <v>0</v>
      </c>
      <c r="D54" s="185">
        <f>'11.F&amp;V Crop Production details'!C130</f>
        <v>0</v>
      </c>
      <c r="E54" s="185">
        <f>'11.F&amp;V Crop Production details'!D130</f>
        <v>0</v>
      </c>
      <c r="F54" s="185">
        <f>'11.F&amp;V Crop Production details'!E130</f>
        <v>0</v>
      </c>
      <c r="G54" s="185">
        <f>'11.F&amp;V Crop Production details'!F130</f>
        <v>0</v>
      </c>
      <c r="H54" s="185">
        <f>'11.F&amp;V Crop Production details'!G130</f>
        <v>0</v>
      </c>
      <c r="I54" s="185">
        <f>'11.F&amp;V Crop Production details'!H130</f>
        <v>0</v>
      </c>
    </row>
    <row r="55" spans="1:9">
      <c r="A55" s="68">
        <f>'11.F&amp;V Crop Production details'!A131</f>
        <v>0</v>
      </c>
      <c r="B55" s="158"/>
      <c r="C55" s="185">
        <f>'11.F&amp;V Crop Production details'!B131</f>
        <v>0</v>
      </c>
      <c r="D55" s="185">
        <f>'11.F&amp;V Crop Production details'!C131</f>
        <v>0</v>
      </c>
      <c r="E55" s="185">
        <f>'11.F&amp;V Crop Production details'!D131</f>
        <v>0</v>
      </c>
      <c r="F55" s="185">
        <f>'11.F&amp;V Crop Production details'!E131</f>
        <v>0</v>
      </c>
      <c r="G55" s="185">
        <f>'11.F&amp;V Crop Production details'!F131</f>
        <v>0</v>
      </c>
      <c r="H55" s="185">
        <f>'11.F&amp;V Crop Production details'!G131</f>
        <v>0</v>
      </c>
      <c r="I55" s="185">
        <f>'11.F&amp;V Crop Production details'!H131</f>
        <v>0</v>
      </c>
    </row>
    <row r="56" spans="1:9">
      <c r="A56" s="68">
        <f>'11.F&amp;V Crop Production details'!A132</f>
        <v>0</v>
      </c>
      <c r="B56" s="158"/>
      <c r="C56" s="185">
        <f>'11.F&amp;V Crop Production details'!B132</f>
        <v>0</v>
      </c>
      <c r="D56" s="185">
        <f>'11.F&amp;V Crop Production details'!C132</f>
        <v>0</v>
      </c>
      <c r="E56" s="185">
        <f>'11.F&amp;V Crop Production details'!D132</f>
        <v>0</v>
      </c>
      <c r="F56" s="185">
        <f>'11.F&amp;V Crop Production details'!E132</f>
        <v>0</v>
      </c>
      <c r="G56" s="185">
        <f>'11.F&amp;V Crop Production details'!F132</f>
        <v>0</v>
      </c>
      <c r="H56" s="185">
        <f>'11.F&amp;V Crop Production details'!G132</f>
        <v>0</v>
      </c>
      <c r="I56" s="185">
        <f>'11.F&amp;V Crop Production details'!H132</f>
        <v>0</v>
      </c>
    </row>
    <row r="57" spans="1:9">
      <c r="A57" s="68">
        <f>'11.F&amp;V Crop Production details'!A133</f>
        <v>0</v>
      </c>
      <c r="B57" s="158"/>
      <c r="C57" s="185">
        <f>'11.F&amp;V Crop Production details'!B133</f>
        <v>0</v>
      </c>
      <c r="D57" s="185">
        <f>'11.F&amp;V Crop Production details'!C133</f>
        <v>0</v>
      </c>
      <c r="E57" s="185">
        <f>'11.F&amp;V Crop Production details'!D133</f>
        <v>0</v>
      </c>
      <c r="F57" s="185">
        <f>'11.F&amp;V Crop Production details'!E133</f>
        <v>0</v>
      </c>
      <c r="G57" s="185">
        <f>'11.F&amp;V Crop Production details'!F133</f>
        <v>0</v>
      </c>
      <c r="H57" s="185">
        <f>'11.F&amp;V Crop Production details'!G133</f>
        <v>0</v>
      </c>
      <c r="I57" s="185">
        <f>'11.F&amp;V Crop Production details'!H133</f>
        <v>0</v>
      </c>
    </row>
    <row r="58" spans="1:9">
      <c r="A58" s="68"/>
      <c r="B58" s="158"/>
      <c r="C58" s="158"/>
      <c r="D58" s="158"/>
      <c r="E58" s="158"/>
      <c r="F58" s="158"/>
      <c r="G58" s="158"/>
      <c r="H58" s="158"/>
      <c r="I58" s="158"/>
    </row>
    <row r="59" spans="1:9">
      <c r="A59" s="70" t="s">
        <v>183</v>
      </c>
      <c r="B59" s="68"/>
      <c r="C59" s="68"/>
      <c r="D59" s="68"/>
      <c r="E59" s="68"/>
      <c r="F59" s="68"/>
      <c r="G59" s="68"/>
      <c r="H59" s="68"/>
      <c r="I59" s="68"/>
    </row>
    <row r="60" spans="1:9">
      <c r="A60" s="70" t="s">
        <v>184</v>
      </c>
      <c r="B60" s="68"/>
      <c r="C60" s="68"/>
      <c r="D60" s="68"/>
      <c r="E60" s="68"/>
      <c r="F60" s="68"/>
      <c r="G60" s="68"/>
      <c r="H60" s="68"/>
      <c r="I60" s="68"/>
    </row>
    <row r="61" spans="1:9">
      <c r="A61" s="70" t="str">
        <f t="shared" ref="A61:A92" si="0">A8</f>
        <v>Kharif Crops</v>
      </c>
      <c r="B61" s="68"/>
      <c r="C61" s="68"/>
      <c r="D61" s="68"/>
      <c r="E61" s="68"/>
      <c r="F61" s="68"/>
      <c r="G61" s="68"/>
      <c r="H61" s="68"/>
      <c r="I61" s="68"/>
    </row>
    <row r="62" spans="1:9">
      <c r="A62" s="68">
        <f t="shared" si="0"/>
        <v>0</v>
      </c>
      <c r="B62" s="176">
        <v>40</v>
      </c>
      <c r="C62" s="154">
        <f>$B62*C9</f>
        <v>0</v>
      </c>
      <c r="D62" s="154">
        <f>$B62*D9</f>
        <v>0</v>
      </c>
      <c r="E62" s="154">
        <f t="shared" ref="E62:I62" si="1">$B62*E9</f>
        <v>0</v>
      </c>
      <c r="F62" s="154">
        <f t="shared" si="1"/>
        <v>0</v>
      </c>
      <c r="G62" s="154">
        <f t="shared" si="1"/>
        <v>0</v>
      </c>
      <c r="H62" s="154">
        <f t="shared" si="1"/>
        <v>0</v>
      </c>
      <c r="I62" s="154">
        <f t="shared" si="1"/>
        <v>0</v>
      </c>
    </row>
    <row r="63" spans="1:9">
      <c r="A63" s="68">
        <f t="shared" si="0"/>
        <v>0</v>
      </c>
      <c r="B63" s="176">
        <v>5</v>
      </c>
      <c r="C63" s="154">
        <f>$B63*C10</f>
        <v>0</v>
      </c>
      <c r="D63" s="154">
        <f t="shared" ref="D63:I63" si="2">$B$63*D10</f>
        <v>0</v>
      </c>
      <c r="E63" s="154">
        <f t="shared" si="2"/>
        <v>0</v>
      </c>
      <c r="F63" s="154">
        <f t="shared" si="2"/>
        <v>0</v>
      </c>
      <c r="G63" s="154">
        <f t="shared" si="2"/>
        <v>0</v>
      </c>
      <c r="H63" s="154">
        <f t="shared" si="2"/>
        <v>0</v>
      </c>
      <c r="I63" s="154">
        <f t="shared" si="2"/>
        <v>0</v>
      </c>
    </row>
    <row r="64" spans="1:9">
      <c r="A64" s="68">
        <f t="shared" si="0"/>
        <v>0</v>
      </c>
      <c r="B64" s="176">
        <v>15</v>
      </c>
      <c r="C64" s="154">
        <f>$B64*C11</f>
        <v>0</v>
      </c>
      <c r="D64" s="154">
        <f t="shared" ref="D64:I64" si="3">$B$64*D11</f>
        <v>0</v>
      </c>
      <c r="E64" s="154">
        <f t="shared" si="3"/>
        <v>0</v>
      </c>
      <c r="F64" s="154">
        <f t="shared" si="3"/>
        <v>0</v>
      </c>
      <c r="G64" s="154">
        <f t="shared" si="3"/>
        <v>0</v>
      </c>
      <c r="H64" s="154">
        <f t="shared" si="3"/>
        <v>0</v>
      </c>
      <c r="I64" s="154">
        <f t="shared" si="3"/>
        <v>0</v>
      </c>
    </row>
    <row r="65" spans="1:9">
      <c r="A65" s="68">
        <f t="shared" si="0"/>
        <v>0</v>
      </c>
      <c r="B65" s="176">
        <v>15</v>
      </c>
      <c r="C65" s="154">
        <f>$B65*C12</f>
        <v>0</v>
      </c>
      <c r="D65" s="154">
        <f t="shared" ref="D65:I67" si="4">$B65*D12</f>
        <v>0</v>
      </c>
      <c r="E65" s="154">
        <f t="shared" si="4"/>
        <v>0</v>
      </c>
      <c r="F65" s="154">
        <f t="shared" si="4"/>
        <v>0</v>
      </c>
      <c r="G65" s="154">
        <f t="shared" si="4"/>
        <v>0</v>
      </c>
      <c r="H65" s="154">
        <f t="shared" si="4"/>
        <v>0</v>
      </c>
      <c r="I65" s="154">
        <f t="shared" si="4"/>
        <v>0</v>
      </c>
    </row>
    <row r="66" spans="1:9">
      <c r="A66" s="68">
        <f t="shared" si="0"/>
        <v>0</v>
      </c>
      <c r="B66" s="176">
        <v>25</v>
      </c>
      <c r="C66" s="154">
        <f>$B66*C13</f>
        <v>0</v>
      </c>
      <c r="D66" s="154">
        <f t="shared" si="4"/>
        <v>0</v>
      </c>
      <c r="E66" s="154">
        <f t="shared" si="4"/>
        <v>0</v>
      </c>
      <c r="F66" s="154">
        <f t="shared" si="4"/>
        <v>0</v>
      </c>
      <c r="G66" s="154">
        <f t="shared" si="4"/>
        <v>0</v>
      </c>
      <c r="H66" s="154">
        <f t="shared" si="4"/>
        <v>0</v>
      </c>
      <c r="I66" s="154">
        <f t="shared" si="4"/>
        <v>0</v>
      </c>
    </row>
    <row r="67" spans="1:9">
      <c r="A67" s="68">
        <f t="shared" si="0"/>
        <v>0</v>
      </c>
      <c r="B67" s="176">
        <v>15</v>
      </c>
      <c r="C67" s="154">
        <f>$B67*C14</f>
        <v>0</v>
      </c>
      <c r="D67" s="154">
        <f t="shared" si="4"/>
        <v>0</v>
      </c>
      <c r="E67" s="154">
        <f t="shared" si="4"/>
        <v>0</v>
      </c>
      <c r="F67" s="154">
        <f t="shared" si="4"/>
        <v>0</v>
      </c>
      <c r="G67" s="154">
        <f t="shared" si="4"/>
        <v>0</v>
      </c>
      <c r="H67" s="154">
        <f t="shared" si="4"/>
        <v>0</v>
      </c>
      <c r="I67" s="154">
        <f t="shared" si="4"/>
        <v>0</v>
      </c>
    </row>
    <row r="68" spans="1:9">
      <c r="A68" s="68">
        <f t="shared" si="0"/>
        <v>0</v>
      </c>
      <c r="B68" s="176">
        <v>5</v>
      </c>
      <c r="C68" s="154">
        <f t="shared" ref="C68:I68" si="5">$B68*C15</f>
        <v>0</v>
      </c>
      <c r="D68" s="154">
        <f t="shared" si="5"/>
        <v>0</v>
      </c>
      <c r="E68" s="154">
        <f t="shared" si="5"/>
        <v>0</v>
      </c>
      <c r="F68" s="154">
        <f t="shared" si="5"/>
        <v>0</v>
      </c>
      <c r="G68" s="154">
        <f t="shared" si="5"/>
        <v>0</v>
      </c>
      <c r="H68" s="154">
        <f t="shared" si="5"/>
        <v>0</v>
      </c>
      <c r="I68" s="154">
        <f t="shared" si="5"/>
        <v>0</v>
      </c>
    </row>
    <row r="69" spans="1:9">
      <c r="A69" s="68">
        <f t="shared" si="0"/>
        <v>0</v>
      </c>
      <c r="B69" s="176">
        <v>5</v>
      </c>
      <c r="C69" s="154">
        <f t="shared" ref="C69:I69" si="6">$B69*C16</f>
        <v>0</v>
      </c>
      <c r="D69" s="154">
        <f t="shared" si="6"/>
        <v>0</v>
      </c>
      <c r="E69" s="154">
        <f t="shared" si="6"/>
        <v>0</v>
      </c>
      <c r="F69" s="154">
        <f t="shared" si="6"/>
        <v>0</v>
      </c>
      <c r="G69" s="154">
        <f t="shared" si="6"/>
        <v>0</v>
      </c>
      <c r="H69" s="154">
        <f t="shared" si="6"/>
        <v>0</v>
      </c>
      <c r="I69" s="154">
        <f t="shared" si="6"/>
        <v>0</v>
      </c>
    </row>
    <row r="70" spans="1:9">
      <c r="A70" s="70" t="str">
        <f t="shared" si="0"/>
        <v>Rabi Crop</v>
      </c>
      <c r="B70" s="176"/>
      <c r="C70" s="154"/>
      <c r="D70" s="154"/>
      <c r="E70" s="154"/>
      <c r="F70" s="154"/>
      <c r="G70" s="154"/>
      <c r="H70" s="154"/>
      <c r="I70" s="154"/>
    </row>
    <row r="71" spans="1:9">
      <c r="A71" s="68">
        <f t="shared" si="0"/>
        <v>0</v>
      </c>
      <c r="B71" s="176">
        <v>20</v>
      </c>
      <c r="C71" s="154">
        <f t="shared" ref="C71:I71" si="7">$B71*C18</f>
        <v>0</v>
      </c>
      <c r="D71" s="154">
        <f t="shared" si="7"/>
        <v>0</v>
      </c>
      <c r="E71" s="154">
        <f t="shared" si="7"/>
        <v>0</v>
      </c>
      <c r="F71" s="154">
        <f t="shared" si="7"/>
        <v>0</v>
      </c>
      <c r="G71" s="154">
        <f t="shared" si="7"/>
        <v>0</v>
      </c>
      <c r="H71" s="154">
        <f t="shared" si="7"/>
        <v>0</v>
      </c>
      <c r="I71" s="154">
        <f t="shared" si="7"/>
        <v>0</v>
      </c>
    </row>
    <row r="72" spans="1:9">
      <c r="A72" s="68">
        <f t="shared" si="0"/>
        <v>0</v>
      </c>
      <c r="B72" s="176">
        <v>25</v>
      </c>
      <c r="C72" s="154">
        <f t="shared" ref="C72:I72" si="8">$B72*C19</f>
        <v>0</v>
      </c>
      <c r="D72" s="154">
        <f t="shared" si="8"/>
        <v>0</v>
      </c>
      <c r="E72" s="154">
        <f t="shared" si="8"/>
        <v>0</v>
      </c>
      <c r="F72" s="154">
        <f t="shared" si="8"/>
        <v>0</v>
      </c>
      <c r="G72" s="154">
        <f t="shared" si="8"/>
        <v>0</v>
      </c>
      <c r="H72" s="154">
        <f t="shared" si="8"/>
        <v>0</v>
      </c>
      <c r="I72" s="154">
        <f t="shared" si="8"/>
        <v>0</v>
      </c>
    </row>
    <row r="73" spans="1:9">
      <c r="A73" s="68">
        <f t="shared" si="0"/>
        <v>0</v>
      </c>
      <c r="B73" s="176">
        <v>5</v>
      </c>
      <c r="C73" s="154">
        <f t="shared" ref="C73:I73" si="9">$B73*C20</f>
        <v>0</v>
      </c>
      <c r="D73" s="154">
        <f t="shared" si="9"/>
        <v>0</v>
      </c>
      <c r="E73" s="154">
        <f t="shared" si="9"/>
        <v>0</v>
      </c>
      <c r="F73" s="154">
        <f t="shared" si="9"/>
        <v>0</v>
      </c>
      <c r="G73" s="154">
        <f t="shared" si="9"/>
        <v>0</v>
      </c>
      <c r="H73" s="154">
        <f t="shared" si="9"/>
        <v>0</v>
      </c>
      <c r="I73" s="154">
        <f t="shared" si="9"/>
        <v>0</v>
      </c>
    </row>
    <row r="74" spans="1:9">
      <c r="A74" s="68">
        <f t="shared" si="0"/>
        <v>0</v>
      </c>
      <c r="B74" s="176">
        <v>20</v>
      </c>
      <c r="C74" s="154">
        <f t="shared" ref="C74:I74" si="10">$B74*C21</f>
        <v>0</v>
      </c>
      <c r="D74" s="154">
        <f t="shared" si="10"/>
        <v>0</v>
      </c>
      <c r="E74" s="154">
        <f t="shared" si="10"/>
        <v>0</v>
      </c>
      <c r="F74" s="154">
        <f t="shared" si="10"/>
        <v>0</v>
      </c>
      <c r="G74" s="154">
        <f t="shared" si="10"/>
        <v>0</v>
      </c>
      <c r="H74" s="154">
        <f t="shared" si="10"/>
        <v>0</v>
      </c>
      <c r="I74" s="154">
        <f t="shared" si="10"/>
        <v>0</v>
      </c>
    </row>
    <row r="75" spans="1:9">
      <c r="A75" s="68">
        <f t="shared" si="0"/>
        <v>0</v>
      </c>
      <c r="B75" s="176"/>
      <c r="C75" s="154">
        <f t="shared" ref="C75:I75" si="11">$B75*C22</f>
        <v>0</v>
      </c>
      <c r="D75" s="154">
        <f t="shared" si="11"/>
        <v>0</v>
      </c>
      <c r="E75" s="154">
        <f t="shared" si="11"/>
        <v>0</v>
      </c>
      <c r="F75" s="154">
        <f t="shared" si="11"/>
        <v>0</v>
      </c>
      <c r="G75" s="154">
        <f t="shared" si="11"/>
        <v>0</v>
      </c>
      <c r="H75" s="154">
        <f t="shared" si="11"/>
        <v>0</v>
      </c>
      <c r="I75" s="154">
        <f t="shared" si="11"/>
        <v>0</v>
      </c>
    </row>
    <row r="76" spans="1:9">
      <c r="A76" s="68">
        <f t="shared" si="0"/>
        <v>0</v>
      </c>
      <c r="B76" s="176"/>
      <c r="C76" s="154">
        <f t="shared" ref="C76:I76" si="12">$B76*C23</f>
        <v>0</v>
      </c>
      <c r="D76" s="154">
        <f t="shared" si="12"/>
        <v>0</v>
      </c>
      <c r="E76" s="154">
        <f t="shared" si="12"/>
        <v>0</v>
      </c>
      <c r="F76" s="154">
        <f t="shared" si="12"/>
        <v>0</v>
      </c>
      <c r="G76" s="154">
        <f t="shared" si="12"/>
        <v>0</v>
      </c>
      <c r="H76" s="154">
        <f t="shared" si="12"/>
        <v>0</v>
      </c>
      <c r="I76" s="154">
        <f t="shared" si="12"/>
        <v>0</v>
      </c>
    </row>
    <row r="77" spans="1:9">
      <c r="A77" s="68">
        <f t="shared" si="0"/>
        <v>0</v>
      </c>
      <c r="B77" s="176"/>
      <c r="C77" s="154">
        <f t="shared" ref="C77:I77" si="13">$B77*C24</f>
        <v>0</v>
      </c>
      <c r="D77" s="154">
        <f t="shared" si="13"/>
        <v>0</v>
      </c>
      <c r="E77" s="154">
        <f t="shared" si="13"/>
        <v>0</v>
      </c>
      <c r="F77" s="154">
        <f t="shared" si="13"/>
        <v>0</v>
      </c>
      <c r="G77" s="154">
        <f t="shared" si="13"/>
        <v>0</v>
      </c>
      <c r="H77" s="154">
        <f t="shared" si="13"/>
        <v>0</v>
      </c>
      <c r="I77" s="154">
        <f t="shared" si="13"/>
        <v>0</v>
      </c>
    </row>
    <row r="78" spans="1:9">
      <c r="A78" s="68">
        <f t="shared" si="0"/>
        <v>0</v>
      </c>
      <c r="B78" s="176"/>
      <c r="C78" s="154">
        <f t="shared" ref="C78:I78" si="14">$B78*C25</f>
        <v>0</v>
      </c>
      <c r="D78" s="154">
        <f t="shared" si="14"/>
        <v>0</v>
      </c>
      <c r="E78" s="154">
        <f t="shared" si="14"/>
        <v>0</v>
      </c>
      <c r="F78" s="154">
        <f t="shared" si="14"/>
        <v>0</v>
      </c>
      <c r="G78" s="154">
        <f t="shared" si="14"/>
        <v>0</v>
      </c>
      <c r="H78" s="154">
        <f t="shared" si="14"/>
        <v>0</v>
      </c>
      <c r="I78" s="154">
        <f t="shared" si="14"/>
        <v>0</v>
      </c>
    </row>
    <row r="79" spans="1:9">
      <c r="A79" s="70" t="str">
        <f t="shared" si="0"/>
        <v>Summer</v>
      </c>
      <c r="B79" s="176"/>
      <c r="C79" s="154"/>
      <c r="D79" s="154"/>
      <c r="E79" s="154"/>
      <c r="F79" s="154"/>
      <c r="G79" s="154"/>
      <c r="H79" s="154"/>
      <c r="I79" s="154"/>
    </row>
    <row r="80" spans="1:9">
      <c r="A80" s="68">
        <f t="shared" si="0"/>
        <v>0</v>
      </c>
      <c r="B80" s="176"/>
      <c r="C80" s="154">
        <f t="shared" ref="C80:I80" si="15">$B80*C27</f>
        <v>0</v>
      </c>
      <c r="D80" s="154">
        <f t="shared" si="15"/>
        <v>0</v>
      </c>
      <c r="E80" s="154">
        <f t="shared" si="15"/>
        <v>0</v>
      </c>
      <c r="F80" s="154">
        <f t="shared" si="15"/>
        <v>0</v>
      </c>
      <c r="G80" s="154">
        <f t="shared" si="15"/>
        <v>0</v>
      </c>
      <c r="H80" s="154">
        <f t="shared" si="15"/>
        <v>0</v>
      </c>
      <c r="I80" s="154">
        <f t="shared" si="15"/>
        <v>0</v>
      </c>
    </row>
    <row r="81" spans="1:9">
      <c r="A81" s="68">
        <f t="shared" si="0"/>
        <v>0</v>
      </c>
      <c r="B81" s="176"/>
      <c r="C81" s="154">
        <f t="shared" ref="C81:I81" si="16">$B81*C28</f>
        <v>0</v>
      </c>
      <c r="D81" s="154">
        <f t="shared" si="16"/>
        <v>0</v>
      </c>
      <c r="E81" s="154">
        <f t="shared" si="16"/>
        <v>0</v>
      </c>
      <c r="F81" s="154">
        <f t="shared" si="16"/>
        <v>0</v>
      </c>
      <c r="G81" s="154">
        <f t="shared" si="16"/>
        <v>0</v>
      </c>
      <c r="H81" s="154">
        <f t="shared" si="16"/>
        <v>0</v>
      </c>
      <c r="I81" s="154">
        <f t="shared" si="16"/>
        <v>0</v>
      </c>
    </row>
    <row r="82" spans="1:9">
      <c r="A82" s="68">
        <f t="shared" si="0"/>
        <v>0</v>
      </c>
      <c r="B82" s="176"/>
      <c r="C82" s="154">
        <f t="shared" ref="C82:I82" si="17">$B82*C29</f>
        <v>0</v>
      </c>
      <c r="D82" s="154">
        <f t="shared" si="17"/>
        <v>0</v>
      </c>
      <c r="E82" s="154">
        <f t="shared" si="17"/>
        <v>0</v>
      </c>
      <c r="F82" s="154">
        <f t="shared" si="17"/>
        <v>0</v>
      </c>
      <c r="G82" s="154">
        <f t="shared" si="17"/>
        <v>0</v>
      </c>
      <c r="H82" s="154">
        <f t="shared" si="17"/>
        <v>0</v>
      </c>
      <c r="I82" s="154">
        <f t="shared" si="17"/>
        <v>0</v>
      </c>
    </row>
    <row r="83" spans="1:9">
      <c r="A83" s="68">
        <f t="shared" si="0"/>
        <v>0</v>
      </c>
      <c r="B83" s="176"/>
      <c r="C83" s="154">
        <f t="shared" ref="C83:I83" si="18">$B83*C30</f>
        <v>0</v>
      </c>
      <c r="D83" s="154">
        <f t="shared" si="18"/>
        <v>0</v>
      </c>
      <c r="E83" s="154">
        <f t="shared" si="18"/>
        <v>0</v>
      </c>
      <c r="F83" s="154">
        <f t="shared" si="18"/>
        <v>0</v>
      </c>
      <c r="G83" s="154">
        <f t="shared" si="18"/>
        <v>0</v>
      </c>
      <c r="H83" s="154">
        <f t="shared" si="18"/>
        <v>0</v>
      </c>
      <c r="I83" s="154">
        <f t="shared" si="18"/>
        <v>0</v>
      </c>
    </row>
    <row r="84" spans="1:9">
      <c r="A84" s="68">
        <f t="shared" si="0"/>
        <v>0</v>
      </c>
      <c r="B84" s="176"/>
      <c r="C84" s="154">
        <f t="shared" ref="C84:I84" si="19">$B84*C31</f>
        <v>0</v>
      </c>
      <c r="D84" s="154">
        <f t="shared" si="19"/>
        <v>0</v>
      </c>
      <c r="E84" s="154">
        <f t="shared" si="19"/>
        <v>0</v>
      </c>
      <c r="F84" s="154">
        <f t="shared" si="19"/>
        <v>0</v>
      </c>
      <c r="G84" s="154">
        <f t="shared" si="19"/>
        <v>0</v>
      </c>
      <c r="H84" s="154">
        <f t="shared" si="19"/>
        <v>0</v>
      </c>
      <c r="I84" s="154">
        <f t="shared" si="19"/>
        <v>0</v>
      </c>
    </row>
    <row r="85" spans="1:9">
      <c r="A85" s="70" t="str">
        <f t="shared" si="0"/>
        <v>Fruit  &amp; Vegetables Crop Production Details</v>
      </c>
      <c r="B85" s="176"/>
      <c r="C85" s="154"/>
      <c r="D85" s="154"/>
      <c r="E85" s="154"/>
      <c r="F85" s="154"/>
      <c r="G85" s="154"/>
      <c r="H85" s="154"/>
      <c r="I85" s="154"/>
    </row>
    <row r="86" spans="1:9">
      <c r="A86" s="68" t="e">
        <f t="shared" si="0"/>
        <v>#REF!</v>
      </c>
      <c r="B86" s="176"/>
      <c r="C86" s="154">
        <f t="shared" ref="C86:I86" si="20">$B86*C33</f>
        <v>0</v>
      </c>
      <c r="D86" s="154">
        <f t="shared" si="20"/>
        <v>0</v>
      </c>
      <c r="E86" s="154">
        <f t="shared" si="20"/>
        <v>0</v>
      </c>
      <c r="F86" s="154">
        <f t="shared" si="20"/>
        <v>0</v>
      </c>
      <c r="G86" s="154">
        <f t="shared" si="20"/>
        <v>0</v>
      </c>
      <c r="H86" s="154">
        <f t="shared" si="20"/>
        <v>0</v>
      </c>
      <c r="I86" s="154">
        <f t="shared" si="20"/>
        <v>0</v>
      </c>
    </row>
    <row r="87" spans="1:9">
      <c r="A87" s="68" t="str">
        <f t="shared" si="0"/>
        <v>Cashew Nut</v>
      </c>
      <c r="B87" s="176"/>
      <c r="C87" s="154">
        <f t="shared" ref="C87:I87" si="21">$B87*C34</f>
        <v>0</v>
      </c>
      <c r="D87" s="154">
        <f t="shared" si="21"/>
        <v>0</v>
      </c>
      <c r="E87" s="154">
        <f t="shared" si="21"/>
        <v>0</v>
      </c>
      <c r="F87" s="154">
        <f t="shared" si="21"/>
        <v>0</v>
      </c>
      <c r="G87" s="154">
        <f t="shared" si="21"/>
        <v>0</v>
      </c>
      <c r="H87" s="154">
        <f t="shared" si="21"/>
        <v>0</v>
      </c>
      <c r="I87" s="154">
        <f t="shared" si="21"/>
        <v>0</v>
      </c>
    </row>
    <row r="88" spans="1:9">
      <c r="A88" s="68" t="str">
        <f t="shared" si="0"/>
        <v>Raw Cashew Nut</v>
      </c>
      <c r="B88" s="176"/>
      <c r="C88" s="154">
        <f t="shared" ref="C88:I88" si="22">$B88*C35</f>
        <v>0</v>
      </c>
      <c r="D88" s="154">
        <f t="shared" si="22"/>
        <v>0</v>
      </c>
      <c r="E88" s="154">
        <f t="shared" si="22"/>
        <v>0</v>
      </c>
      <c r="F88" s="154">
        <f t="shared" si="22"/>
        <v>0</v>
      </c>
      <c r="G88" s="154">
        <f t="shared" si="22"/>
        <v>0</v>
      </c>
      <c r="H88" s="154">
        <f t="shared" si="22"/>
        <v>0</v>
      </c>
      <c r="I88" s="154">
        <f t="shared" si="22"/>
        <v>0</v>
      </c>
    </row>
    <row r="89" spans="1:9">
      <c r="A89" s="68">
        <f t="shared" si="0"/>
        <v>0</v>
      </c>
      <c r="B89" s="176"/>
      <c r="C89" s="154">
        <f t="shared" ref="C89:I89" si="23">$B89*C36</f>
        <v>0</v>
      </c>
      <c r="D89" s="154">
        <f t="shared" si="23"/>
        <v>0</v>
      </c>
      <c r="E89" s="154">
        <f t="shared" si="23"/>
        <v>0</v>
      </c>
      <c r="F89" s="154">
        <f t="shared" si="23"/>
        <v>0</v>
      </c>
      <c r="G89" s="154">
        <f t="shared" si="23"/>
        <v>0</v>
      </c>
      <c r="H89" s="154">
        <f t="shared" si="23"/>
        <v>0</v>
      </c>
      <c r="I89" s="154">
        <f t="shared" si="23"/>
        <v>0</v>
      </c>
    </row>
    <row r="90" spans="1:9">
      <c r="A90" s="68">
        <f t="shared" si="0"/>
        <v>0</v>
      </c>
      <c r="B90" s="176"/>
      <c r="C90" s="154">
        <f t="shared" ref="C90:I90" si="24">$B90*C37</f>
        <v>0</v>
      </c>
      <c r="D90" s="154">
        <f t="shared" si="24"/>
        <v>0</v>
      </c>
      <c r="E90" s="154">
        <f t="shared" si="24"/>
        <v>0</v>
      </c>
      <c r="F90" s="154">
        <f t="shared" si="24"/>
        <v>0</v>
      </c>
      <c r="G90" s="154">
        <f t="shared" si="24"/>
        <v>0</v>
      </c>
      <c r="H90" s="154">
        <f t="shared" si="24"/>
        <v>0</v>
      </c>
      <c r="I90" s="154">
        <f t="shared" si="24"/>
        <v>0</v>
      </c>
    </row>
    <row r="91" spans="1:9">
      <c r="A91" s="68">
        <f t="shared" si="0"/>
        <v>0</v>
      </c>
      <c r="B91" s="176"/>
      <c r="C91" s="154">
        <f t="shared" ref="C91:I91" si="25">$B91*C38</f>
        <v>0</v>
      </c>
      <c r="D91" s="154">
        <f t="shared" si="25"/>
        <v>0</v>
      </c>
      <c r="E91" s="154">
        <f t="shared" si="25"/>
        <v>0</v>
      </c>
      <c r="F91" s="154">
        <f t="shared" si="25"/>
        <v>0</v>
      </c>
      <c r="G91" s="154">
        <f t="shared" si="25"/>
        <v>0</v>
      </c>
      <c r="H91" s="154">
        <f t="shared" si="25"/>
        <v>0</v>
      </c>
      <c r="I91" s="154">
        <f t="shared" si="25"/>
        <v>0</v>
      </c>
    </row>
    <row r="92" spans="1:9">
      <c r="A92" s="68">
        <f t="shared" si="0"/>
        <v>0</v>
      </c>
      <c r="B92" s="176"/>
      <c r="C92" s="154">
        <f t="shared" ref="C92:I92" si="26">$B92*C39</f>
        <v>0</v>
      </c>
      <c r="D92" s="154">
        <f t="shared" si="26"/>
        <v>0</v>
      </c>
      <c r="E92" s="154">
        <f t="shared" si="26"/>
        <v>0</v>
      </c>
      <c r="F92" s="154">
        <f t="shared" si="26"/>
        <v>0</v>
      </c>
      <c r="G92" s="154">
        <f t="shared" si="26"/>
        <v>0</v>
      </c>
      <c r="H92" s="154">
        <f t="shared" si="26"/>
        <v>0</v>
      </c>
      <c r="I92" s="154">
        <f t="shared" si="26"/>
        <v>0</v>
      </c>
    </row>
    <row r="93" spans="1:9">
      <c r="A93" s="68">
        <f t="shared" ref="A93:A110" si="27">A40</f>
        <v>0</v>
      </c>
      <c r="B93" s="176"/>
      <c r="C93" s="154">
        <f t="shared" ref="C93:I93" si="28">$B93*C40</f>
        <v>0</v>
      </c>
      <c r="D93" s="154">
        <f t="shared" si="28"/>
        <v>0</v>
      </c>
      <c r="E93" s="154">
        <f t="shared" si="28"/>
        <v>0</v>
      </c>
      <c r="F93" s="154">
        <f t="shared" si="28"/>
        <v>0</v>
      </c>
      <c r="G93" s="154">
        <f t="shared" si="28"/>
        <v>0</v>
      </c>
      <c r="H93" s="154">
        <f t="shared" si="28"/>
        <v>0</v>
      </c>
      <c r="I93" s="154">
        <f t="shared" si="28"/>
        <v>0</v>
      </c>
    </row>
    <row r="94" spans="1:9">
      <c r="A94" s="68">
        <f t="shared" si="27"/>
        <v>0</v>
      </c>
      <c r="B94" s="176"/>
      <c r="C94" s="154">
        <f t="shared" ref="C94:I94" si="29">$B94*C41</f>
        <v>0</v>
      </c>
      <c r="D94" s="154">
        <f t="shared" si="29"/>
        <v>0</v>
      </c>
      <c r="E94" s="154">
        <f t="shared" si="29"/>
        <v>0</v>
      </c>
      <c r="F94" s="154">
        <f t="shared" si="29"/>
        <v>0</v>
      </c>
      <c r="G94" s="154">
        <f t="shared" si="29"/>
        <v>0</v>
      </c>
      <c r="H94" s="154">
        <f t="shared" si="29"/>
        <v>0</v>
      </c>
      <c r="I94" s="154">
        <f t="shared" si="29"/>
        <v>0</v>
      </c>
    </row>
    <row r="95" spans="1:9">
      <c r="A95" s="68">
        <f t="shared" si="27"/>
        <v>0</v>
      </c>
      <c r="B95" s="176"/>
      <c r="C95" s="154">
        <f t="shared" ref="C95:I95" si="30">$B95*C42</f>
        <v>0</v>
      </c>
      <c r="D95" s="154">
        <f t="shared" si="30"/>
        <v>0</v>
      </c>
      <c r="E95" s="154">
        <f t="shared" si="30"/>
        <v>0</v>
      </c>
      <c r="F95" s="154">
        <f t="shared" si="30"/>
        <v>0</v>
      </c>
      <c r="G95" s="154">
        <f t="shared" si="30"/>
        <v>0</v>
      </c>
      <c r="H95" s="154">
        <f t="shared" si="30"/>
        <v>0</v>
      </c>
      <c r="I95" s="154">
        <f t="shared" si="30"/>
        <v>0</v>
      </c>
    </row>
    <row r="96" spans="1:9">
      <c r="A96" s="68">
        <f t="shared" si="27"/>
        <v>0</v>
      </c>
      <c r="B96" s="176"/>
      <c r="C96" s="154">
        <f t="shared" ref="C96:I96" si="31">$B96*C43</f>
        <v>0</v>
      </c>
      <c r="D96" s="154">
        <f t="shared" si="31"/>
        <v>0</v>
      </c>
      <c r="E96" s="154">
        <f t="shared" si="31"/>
        <v>0</v>
      </c>
      <c r="F96" s="154">
        <f t="shared" si="31"/>
        <v>0</v>
      </c>
      <c r="G96" s="154">
        <f t="shared" si="31"/>
        <v>0</v>
      </c>
      <c r="H96" s="154">
        <f t="shared" si="31"/>
        <v>0</v>
      </c>
      <c r="I96" s="154">
        <f t="shared" si="31"/>
        <v>0</v>
      </c>
    </row>
    <row r="97" spans="1:9">
      <c r="A97" s="68">
        <f t="shared" si="27"/>
        <v>0</v>
      </c>
      <c r="B97" s="176"/>
      <c r="C97" s="154">
        <f t="shared" ref="C97:I97" si="32">$B97*C44</f>
        <v>0</v>
      </c>
      <c r="D97" s="154">
        <f t="shared" si="32"/>
        <v>0</v>
      </c>
      <c r="E97" s="154">
        <f t="shared" si="32"/>
        <v>0</v>
      </c>
      <c r="F97" s="154">
        <f t="shared" si="32"/>
        <v>0</v>
      </c>
      <c r="G97" s="154">
        <f t="shared" si="32"/>
        <v>0</v>
      </c>
      <c r="H97" s="154">
        <f t="shared" si="32"/>
        <v>0</v>
      </c>
      <c r="I97" s="154">
        <f t="shared" si="32"/>
        <v>0</v>
      </c>
    </row>
    <row r="98" spans="1:9">
      <c r="A98" s="68">
        <f t="shared" si="27"/>
        <v>0</v>
      </c>
      <c r="B98" s="176"/>
      <c r="C98" s="154">
        <f t="shared" ref="C98:I98" si="33">$B98*C45</f>
        <v>0</v>
      </c>
      <c r="D98" s="154">
        <f t="shared" si="33"/>
        <v>0</v>
      </c>
      <c r="E98" s="154">
        <f t="shared" si="33"/>
        <v>0</v>
      </c>
      <c r="F98" s="154">
        <f t="shared" si="33"/>
        <v>0</v>
      </c>
      <c r="G98" s="154">
        <f t="shared" si="33"/>
        <v>0</v>
      </c>
      <c r="H98" s="154">
        <f t="shared" si="33"/>
        <v>0</v>
      </c>
      <c r="I98" s="154">
        <f t="shared" si="33"/>
        <v>0</v>
      </c>
    </row>
    <row r="99" spans="1:9">
      <c r="A99" s="68">
        <f t="shared" si="27"/>
        <v>0</v>
      </c>
      <c r="B99" s="176"/>
      <c r="C99" s="154">
        <f t="shared" ref="C99:I99" si="34">$B99*C46</f>
        <v>0</v>
      </c>
      <c r="D99" s="154">
        <f t="shared" si="34"/>
        <v>0</v>
      </c>
      <c r="E99" s="154">
        <f t="shared" si="34"/>
        <v>0</v>
      </c>
      <c r="F99" s="154">
        <f t="shared" si="34"/>
        <v>0</v>
      </c>
      <c r="G99" s="154">
        <f t="shared" si="34"/>
        <v>0</v>
      </c>
      <c r="H99" s="154">
        <f t="shared" si="34"/>
        <v>0</v>
      </c>
      <c r="I99" s="154">
        <f t="shared" si="34"/>
        <v>0</v>
      </c>
    </row>
    <row r="100" spans="1:9">
      <c r="A100" s="68">
        <f t="shared" si="27"/>
        <v>0</v>
      </c>
      <c r="B100" s="176"/>
      <c r="C100" s="154">
        <f t="shared" ref="C100:I100" si="35">$B100*C47</f>
        <v>0</v>
      </c>
      <c r="D100" s="154">
        <f t="shared" si="35"/>
        <v>0</v>
      </c>
      <c r="E100" s="154">
        <f t="shared" si="35"/>
        <v>0</v>
      </c>
      <c r="F100" s="154">
        <f t="shared" si="35"/>
        <v>0</v>
      </c>
      <c r="G100" s="154">
        <f t="shared" si="35"/>
        <v>0</v>
      </c>
      <c r="H100" s="154">
        <f t="shared" si="35"/>
        <v>0</v>
      </c>
      <c r="I100" s="154">
        <f t="shared" si="35"/>
        <v>0</v>
      </c>
    </row>
    <row r="101" spans="1:9">
      <c r="A101" s="68">
        <f t="shared" si="27"/>
        <v>0</v>
      </c>
      <c r="B101" s="176"/>
      <c r="C101" s="154">
        <f t="shared" ref="C101:I101" si="36">$B101*C48</f>
        <v>0</v>
      </c>
      <c r="D101" s="154">
        <f t="shared" si="36"/>
        <v>0</v>
      </c>
      <c r="E101" s="154">
        <f t="shared" si="36"/>
        <v>0</v>
      </c>
      <c r="F101" s="154">
        <f t="shared" si="36"/>
        <v>0</v>
      </c>
      <c r="G101" s="154">
        <f t="shared" si="36"/>
        <v>0</v>
      </c>
      <c r="H101" s="154">
        <f t="shared" si="36"/>
        <v>0</v>
      </c>
      <c r="I101" s="154">
        <f t="shared" si="36"/>
        <v>0</v>
      </c>
    </row>
    <row r="102" spans="1:9">
      <c r="A102" s="68">
        <f t="shared" si="27"/>
        <v>0</v>
      </c>
      <c r="B102" s="176"/>
      <c r="C102" s="154">
        <f t="shared" ref="C102:I102" si="37">$B102*C49</f>
        <v>0</v>
      </c>
      <c r="D102" s="154">
        <f t="shared" si="37"/>
        <v>0</v>
      </c>
      <c r="E102" s="154">
        <f t="shared" si="37"/>
        <v>0</v>
      </c>
      <c r="F102" s="154">
        <f t="shared" si="37"/>
        <v>0</v>
      </c>
      <c r="G102" s="154">
        <f t="shared" si="37"/>
        <v>0</v>
      </c>
      <c r="H102" s="154">
        <f t="shared" si="37"/>
        <v>0</v>
      </c>
      <c r="I102" s="154">
        <f t="shared" si="37"/>
        <v>0</v>
      </c>
    </row>
    <row r="103" spans="1:9">
      <c r="A103" s="68">
        <f t="shared" si="27"/>
        <v>0</v>
      </c>
      <c r="B103" s="176"/>
      <c r="C103" s="154">
        <f t="shared" ref="C103:I103" si="38">$B103*C50</f>
        <v>0</v>
      </c>
      <c r="D103" s="154">
        <f t="shared" si="38"/>
        <v>0</v>
      </c>
      <c r="E103" s="154">
        <f t="shared" si="38"/>
        <v>0</v>
      </c>
      <c r="F103" s="154">
        <f t="shared" si="38"/>
        <v>0</v>
      </c>
      <c r="G103" s="154">
        <f t="shared" si="38"/>
        <v>0</v>
      </c>
      <c r="H103" s="154">
        <f t="shared" si="38"/>
        <v>0</v>
      </c>
      <c r="I103" s="154">
        <f t="shared" si="38"/>
        <v>0</v>
      </c>
    </row>
    <row r="104" spans="1:9">
      <c r="A104" s="68">
        <f t="shared" si="27"/>
        <v>0</v>
      </c>
      <c r="B104" s="176"/>
      <c r="C104" s="154">
        <f t="shared" ref="C104:I104" si="39">$B104*C51</f>
        <v>0</v>
      </c>
      <c r="D104" s="154">
        <f t="shared" si="39"/>
        <v>0</v>
      </c>
      <c r="E104" s="154">
        <f t="shared" si="39"/>
        <v>0</v>
      </c>
      <c r="F104" s="154">
        <f t="shared" si="39"/>
        <v>0</v>
      </c>
      <c r="G104" s="154">
        <f t="shared" si="39"/>
        <v>0</v>
      </c>
      <c r="H104" s="154">
        <f t="shared" si="39"/>
        <v>0</v>
      </c>
      <c r="I104" s="154">
        <f t="shared" si="39"/>
        <v>0</v>
      </c>
    </row>
    <row r="105" spans="1:9">
      <c r="A105" s="68">
        <f t="shared" si="27"/>
        <v>0</v>
      </c>
      <c r="B105" s="176"/>
      <c r="C105" s="154">
        <f t="shared" ref="C105:I105" si="40">$B105*C52</f>
        <v>0</v>
      </c>
      <c r="D105" s="154">
        <f t="shared" si="40"/>
        <v>0</v>
      </c>
      <c r="E105" s="154">
        <f t="shared" si="40"/>
        <v>0</v>
      </c>
      <c r="F105" s="154">
        <f t="shared" si="40"/>
        <v>0</v>
      </c>
      <c r="G105" s="154">
        <f t="shared" si="40"/>
        <v>0</v>
      </c>
      <c r="H105" s="154">
        <f t="shared" si="40"/>
        <v>0</v>
      </c>
      <c r="I105" s="154">
        <f t="shared" si="40"/>
        <v>0</v>
      </c>
    </row>
    <row r="106" spans="1:9">
      <c r="A106" s="68">
        <f t="shared" si="27"/>
        <v>0</v>
      </c>
      <c r="B106" s="176"/>
      <c r="C106" s="154">
        <f t="shared" ref="C106:I106" si="41">$B106*C53</f>
        <v>0</v>
      </c>
      <c r="D106" s="154">
        <f t="shared" si="41"/>
        <v>0</v>
      </c>
      <c r="E106" s="154">
        <f t="shared" si="41"/>
        <v>0</v>
      </c>
      <c r="F106" s="154">
        <f t="shared" si="41"/>
        <v>0</v>
      </c>
      <c r="G106" s="154">
        <f t="shared" si="41"/>
        <v>0</v>
      </c>
      <c r="H106" s="154">
        <f t="shared" si="41"/>
        <v>0</v>
      </c>
      <c r="I106" s="154">
        <f t="shared" si="41"/>
        <v>0</v>
      </c>
    </row>
    <row r="107" spans="1:9">
      <c r="A107" s="68">
        <f t="shared" si="27"/>
        <v>0</v>
      </c>
      <c r="B107" s="176"/>
      <c r="C107" s="154">
        <f t="shared" ref="C107:I107" si="42">$B107*C54</f>
        <v>0</v>
      </c>
      <c r="D107" s="154">
        <f t="shared" si="42"/>
        <v>0</v>
      </c>
      <c r="E107" s="154">
        <f t="shared" si="42"/>
        <v>0</v>
      </c>
      <c r="F107" s="154">
        <f t="shared" si="42"/>
        <v>0</v>
      </c>
      <c r="G107" s="154">
        <f t="shared" si="42"/>
        <v>0</v>
      </c>
      <c r="H107" s="154">
        <f t="shared" si="42"/>
        <v>0</v>
      </c>
      <c r="I107" s="154">
        <f t="shared" si="42"/>
        <v>0</v>
      </c>
    </row>
    <row r="108" spans="1:9">
      <c r="A108" s="68">
        <f t="shared" si="27"/>
        <v>0</v>
      </c>
      <c r="B108" s="176"/>
      <c r="C108" s="154">
        <f t="shared" ref="C108:I108" si="43">$B108*C55</f>
        <v>0</v>
      </c>
      <c r="D108" s="154">
        <f t="shared" si="43"/>
        <v>0</v>
      </c>
      <c r="E108" s="154">
        <f t="shared" si="43"/>
        <v>0</v>
      </c>
      <c r="F108" s="154">
        <f t="shared" si="43"/>
        <v>0</v>
      </c>
      <c r="G108" s="154">
        <f t="shared" si="43"/>
        <v>0</v>
      </c>
      <c r="H108" s="154">
        <f t="shared" si="43"/>
        <v>0</v>
      </c>
      <c r="I108" s="154">
        <f t="shared" si="43"/>
        <v>0</v>
      </c>
    </row>
    <row r="109" spans="1:9">
      <c r="A109" s="68">
        <f t="shared" si="27"/>
        <v>0</v>
      </c>
      <c r="B109" s="176"/>
      <c r="C109" s="154">
        <f t="shared" ref="C109:I109" si="44">$B109*C56</f>
        <v>0</v>
      </c>
      <c r="D109" s="154">
        <f t="shared" si="44"/>
        <v>0</v>
      </c>
      <c r="E109" s="154">
        <f t="shared" si="44"/>
        <v>0</v>
      </c>
      <c r="F109" s="154">
        <f t="shared" si="44"/>
        <v>0</v>
      </c>
      <c r="G109" s="154">
        <f t="shared" si="44"/>
        <v>0</v>
      </c>
      <c r="H109" s="154">
        <f t="shared" si="44"/>
        <v>0</v>
      </c>
      <c r="I109" s="154">
        <f t="shared" si="44"/>
        <v>0</v>
      </c>
    </row>
    <row r="110" spans="1:9">
      <c r="A110" s="68">
        <f t="shared" si="27"/>
        <v>0</v>
      </c>
      <c r="B110" s="176"/>
      <c r="C110" s="154">
        <f t="shared" ref="C110:I110" si="45">$B110*C57</f>
        <v>0</v>
      </c>
      <c r="D110" s="154">
        <f t="shared" si="45"/>
        <v>0</v>
      </c>
      <c r="E110" s="154">
        <f t="shared" si="45"/>
        <v>0</v>
      </c>
      <c r="F110" s="154">
        <f t="shared" si="45"/>
        <v>0</v>
      </c>
      <c r="G110" s="154">
        <f t="shared" si="45"/>
        <v>0</v>
      </c>
      <c r="H110" s="154">
        <f t="shared" si="45"/>
        <v>0</v>
      </c>
      <c r="I110" s="154">
        <f t="shared" si="45"/>
        <v>0</v>
      </c>
    </row>
    <row r="111" spans="1:9">
      <c r="A111" s="68"/>
      <c r="B111" s="176"/>
      <c r="C111" s="154"/>
      <c r="D111" s="154"/>
      <c r="E111" s="154"/>
      <c r="F111" s="154"/>
      <c r="G111" s="154"/>
      <c r="H111" s="154"/>
      <c r="I111" s="154"/>
    </row>
    <row r="112" spans="1:9">
      <c r="A112" s="68"/>
      <c r="B112" s="176"/>
      <c r="C112" s="154"/>
      <c r="D112" s="154"/>
      <c r="E112" s="154"/>
      <c r="F112" s="154"/>
      <c r="G112" s="154"/>
      <c r="H112" s="154"/>
      <c r="I112" s="154"/>
    </row>
    <row r="113" spans="1:23">
      <c r="A113" s="70" t="s">
        <v>185</v>
      </c>
      <c r="B113" s="68"/>
      <c r="C113" s="68"/>
      <c r="D113" s="68"/>
      <c r="E113" s="68"/>
      <c r="F113" s="68"/>
      <c r="G113" s="68"/>
      <c r="H113" s="68"/>
      <c r="I113" s="68"/>
    </row>
    <row r="114" spans="1:23">
      <c r="A114" s="68" t="s">
        <v>400</v>
      </c>
      <c r="B114" s="176">
        <v>100</v>
      </c>
      <c r="C114" s="154">
        <f>SUM(C62:C110)*$B$114</f>
        <v>0</v>
      </c>
      <c r="D114" s="154">
        <f t="shared" ref="D114:I114" si="46">SUM(D62:D110)*$B$114</f>
        <v>0</v>
      </c>
      <c r="E114" s="154">
        <f t="shared" si="46"/>
        <v>0</v>
      </c>
      <c r="F114" s="154">
        <f t="shared" si="46"/>
        <v>0</v>
      </c>
      <c r="G114" s="154">
        <f t="shared" si="46"/>
        <v>0</v>
      </c>
      <c r="H114" s="154">
        <f t="shared" si="46"/>
        <v>0</v>
      </c>
      <c r="I114" s="154">
        <f t="shared" si="46"/>
        <v>0</v>
      </c>
    </row>
    <row r="115" spans="1:23">
      <c r="A115" s="68" t="s">
        <v>179</v>
      </c>
      <c r="B115" s="176">
        <v>30</v>
      </c>
      <c r="C115" s="154">
        <f>SUM(C62:C110)*$B$115</f>
        <v>0</v>
      </c>
      <c r="D115" s="154">
        <f t="shared" ref="D115:I115" si="47">SUM(D62:D110)*$B$115</f>
        <v>0</v>
      </c>
      <c r="E115" s="154">
        <f t="shared" si="47"/>
        <v>0</v>
      </c>
      <c r="F115" s="154">
        <f t="shared" si="47"/>
        <v>0</v>
      </c>
      <c r="G115" s="154">
        <f t="shared" si="47"/>
        <v>0</v>
      </c>
      <c r="H115" s="154">
        <f t="shared" si="47"/>
        <v>0</v>
      </c>
      <c r="I115" s="154">
        <f t="shared" si="47"/>
        <v>0</v>
      </c>
    </row>
    <row r="116" spans="1:23">
      <c r="A116" s="68" t="s">
        <v>181</v>
      </c>
      <c r="B116" s="176">
        <v>30</v>
      </c>
      <c r="C116" s="154">
        <f>SUM(C62:C110)*$B$116</f>
        <v>0</v>
      </c>
      <c r="D116" s="154">
        <f t="shared" ref="D116:I116" si="48">SUM(D62:D110)*$B$116</f>
        <v>0</v>
      </c>
      <c r="E116" s="154">
        <f t="shared" si="48"/>
        <v>0</v>
      </c>
      <c r="F116" s="154">
        <f t="shared" si="48"/>
        <v>0</v>
      </c>
      <c r="G116" s="154">
        <f t="shared" si="48"/>
        <v>0</v>
      </c>
      <c r="H116" s="154">
        <f t="shared" si="48"/>
        <v>0</v>
      </c>
      <c r="I116" s="154">
        <f t="shared" si="48"/>
        <v>0</v>
      </c>
    </row>
    <row r="117" spans="1:23">
      <c r="A117" s="70" t="s">
        <v>180</v>
      </c>
      <c r="B117" s="176"/>
      <c r="C117" s="68"/>
      <c r="D117" s="68"/>
      <c r="E117" s="68"/>
      <c r="F117" s="68"/>
      <c r="G117" s="68"/>
      <c r="H117" s="68"/>
      <c r="I117" s="68"/>
    </row>
    <row r="118" spans="1:23">
      <c r="A118" s="68" t="s">
        <v>186</v>
      </c>
      <c r="B118" s="176">
        <v>0.2</v>
      </c>
      <c r="C118" s="154">
        <f>SUM(C62:C110)*$B$118</f>
        <v>0</v>
      </c>
      <c r="D118" s="154">
        <f t="shared" ref="D118:I118" si="49">SUM(D62:D110)*$B$118</f>
        <v>0</v>
      </c>
      <c r="E118" s="154">
        <f t="shared" si="49"/>
        <v>0</v>
      </c>
      <c r="F118" s="154">
        <f t="shared" si="49"/>
        <v>0</v>
      </c>
      <c r="G118" s="154">
        <f t="shared" si="49"/>
        <v>0</v>
      </c>
      <c r="H118" s="154">
        <f t="shared" si="49"/>
        <v>0</v>
      </c>
      <c r="I118" s="154">
        <f t="shared" si="49"/>
        <v>0</v>
      </c>
    </row>
    <row r="119" spans="1:23">
      <c r="A119" s="68" t="s">
        <v>187</v>
      </c>
      <c r="B119" s="176">
        <v>0.5</v>
      </c>
      <c r="C119" s="154">
        <f>SUM(C62:C110)*$B$119</f>
        <v>0</v>
      </c>
      <c r="D119" s="154">
        <f t="shared" ref="D119:I119" si="50">SUM(D62:D110)*$B$119</f>
        <v>0</v>
      </c>
      <c r="E119" s="154">
        <f t="shared" si="50"/>
        <v>0</v>
      </c>
      <c r="F119" s="154">
        <f t="shared" si="50"/>
        <v>0</v>
      </c>
      <c r="G119" s="154">
        <f t="shared" si="50"/>
        <v>0</v>
      </c>
      <c r="H119" s="154">
        <f t="shared" si="50"/>
        <v>0</v>
      </c>
      <c r="I119" s="154">
        <f t="shared" si="50"/>
        <v>0</v>
      </c>
    </row>
    <row r="122" spans="1:23" ht="18.75">
      <c r="A122" s="381" t="s">
        <v>564</v>
      </c>
      <c r="B122" s="381"/>
      <c r="C122" s="381"/>
      <c r="D122" s="381"/>
      <c r="E122" s="381"/>
      <c r="F122" s="381"/>
      <c r="G122" s="381"/>
      <c r="H122" s="381"/>
      <c r="I122" s="381"/>
      <c r="J122" s="381"/>
    </row>
    <row r="123" spans="1:23">
      <c r="A123" s="12"/>
      <c r="B123" s="12"/>
      <c r="C123" s="12"/>
      <c r="D123" s="12"/>
      <c r="E123" s="12"/>
      <c r="F123" s="12"/>
      <c r="G123" s="12"/>
      <c r="H123" s="12"/>
    </row>
    <row r="124" spans="1:23">
      <c r="A124" s="149"/>
      <c r="B124" s="149"/>
      <c r="C124" s="149"/>
      <c r="D124" s="150">
        <v>1</v>
      </c>
      <c r="E124" s="151">
        <f>(D124*5%)+D124</f>
        <v>1.05</v>
      </c>
      <c r="F124" s="151">
        <f t="shared" ref="F124:J124" si="51">(E124*5%)+E124</f>
        <v>1.1025</v>
      </c>
      <c r="G124" s="151">
        <f t="shared" si="51"/>
        <v>1.1576250000000001</v>
      </c>
      <c r="H124" s="151">
        <f t="shared" si="51"/>
        <v>1.2155062500000002</v>
      </c>
      <c r="I124" s="151">
        <f t="shared" si="51"/>
        <v>1.2762815625000004</v>
      </c>
      <c r="J124" s="151">
        <f t="shared" si="51"/>
        <v>1.3400956406250004</v>
      </c>
      <c r="K124" s="67"/>
      <c r="U124" s="67"/>
      <c r="V124" s="67"/>
      <c r="W124" s="67"/>
    </row>
    <row r="125" spans="1:23">
      <c r="A125" s="67"/>
      <c r="B125" s="67"/>
      <c r="C125" s="67"/>
      <c r="D125" s="67"/>
      <c r="E125" s="67"/>
      <c r="F125" s="67"/>
      <c r="G125" s="67"/>
      <c r="H125" s="67"/>
      <c r="I125" s="67"/>
      <c r="J125" s="67"/>
      <c r="K125" s="67"/>
      <c r="U125" s="67"/>
      <c r="V125" s="67"/>
      <c r="W125" s="67"/>
    </row>
    <row r="126" spans="1:23">
      <c r="A126" s="115" t="s">
        <v>0</v>
      </c>
      <c r="B126" s="115" t="s">
        <v>133</v>
      </c>
      <c r="C126" s="115" t="s">
        <v>153</v>
      </c>
      <c r="D126" s="87" t="s">
        <v>2</v>
      </c>
      <c r="E126" s="87" t="s">
        <v>3</v>
      </c>
      <c r="F126" s="87" t="s">
        <v>4</v>
      </c>
      <c r="G126" s="87" t="s">
        <v>5</v>
      </c>
      <c r="H126" s="87" t="s">
        <v>6</v>
      </c>
      <c r="I126" s="87" t="s">
        <v>169</v>
      </c>
      <c r="J126" s="87" t="s">
        <v>168</v>
      </c>
      <c r="K126" s="67"/>
      <c r="U126" s="67"/>
      <c r="V126" s="67"/>
      <c r="W126" s="67"/>
    </row>
    <row r="127" spans="1:23">
      <c r="A127" s="70" t="s">
        <v>127</v>
      </c>
      <c r="B127" s="68"/>
      <c r="C127" s="68"/>
      <c r="D127" s="68"/>
      <c r="E127" s="68"/>
      <c r="F127" s="68"/>
      <c r="G127" s="68"/>
      <c r="H127" s="68"/>
      <c r="I127" s="68"/>
      <c r="J127" s="68"/>
      <c r="K127" s="67"/>
      <c r="U127" s="67"/>
      <c r="V127" s="67"/>
      <c r="W127" s="67"/>
    </row>
    <row r="128" spans="1:23">
      <c r="A128" s="68" t="s">
        <v>286</v>
      </c>
      <c r="B128" s="68"/>
      <c r="C128" s="68"/>
      <c r="D128" s="68"/>
      <c r="E128" s="68"/>
      <c r="F128" s="68"/>
      <c r="G128" s="68"/>
      <c r="H128" s="68"/>
      <c r="I128" s="68"/>
      <c r="J128" s="68"/>
      <c r="K128" s="67"/>
      <c r="U128" s="67"/>
      <c r="V128" s="67"/>
      <c r="W128" s="67"/>
    </row>
    <row r="129" spans="1:23">
      <c r="A129" s="70" t="str">
        <f t="shared" ref="A129:A160" si="52">A8</f>
        <v>Kharif Crops</v>
      </c>
      <c r="B129" s="68"/>
      <c r="C129" s="68"/>
      <c r="D129" s="68"/>
      <c r="E129" s="68"/>
      <c r="F129" s="68"/>
      <c r="G129" s="68"/>
      <c r="H129" s="68"/>
      <c r="I129" s="68"/>
      <c r="J129" s="68"/>
      <c r="K129" s="67"/>
      <c r="U129" s="67"/>
      <c r="V129" s="67"/>
      <c r="W129" s="67"/>
    </row>
    <row r="130" spans="1:23">
      <c r="A130" s="68">
        <f t="shared" si="52"/>
        <v>0</v>
      </c>
      <c r="B130" s="68"/>
      <c r="C130" s="176">
        <v>90</v>
      </c>
      <c r="D130" s="69">
        <f>(C62*(1-'5.Closing Stock &amp; W Capital'!$D$15))*$C$130*D$124</f>
        <v>0</v>
      </c>
      <c r="E130" s="69">
        <f>(D62*(1-'5.Closing Stock &amp; W Capital'!$D$15))*$C$130*E$124</f>
        <v>0</v>
      </c>
      <c r="F130" s="69">
        <f>(E62*(1-'5.Closing Stock &amp; W Capital'!$D$15))*$C$130*F$124</f>
        <v>0</v>
      </c>
      <c r="G130" s="69">
        <f>(F62*(1-'5.Closing Stock &amp; W Capital'!$D$15))*$C$130*G$124</f>
        <v>0</v>
      </c>
      <c r="H130" s="69">
        <f>(G62*(1-'5.Closing Stock &amp; W Capital'!$D$15))*$C$130*H$124</f>
        <v>0</v>
      </c>
      <c r="I130" s="69">
        <f>(H62*(1-'5.Closing Stock &amp; W Capital'!$D$15))*$C$130*I$124</f>
        <v>0</v>
      </c>
      <c r="J130" s="69">
        <f>(I62*(1-'5.Closing Stock &amp; W Capital'!$D$15))*$C$130*J$124</f>
        <v>0</v>
      </c>
      <c r="K130" s="67"/>
      <c r="U130" s="67"/>
      <c r="V130" s="67"/>
      <c r="W130" s="67"/>
    </row>
    <row r="131" spans="1:23">
      <c r="A131" s="68">
        <f t="shared" si="52"/>
        <v>0</v>
      </c>
      <c r="B131" s="68"/>
      <c r="C131" s="184">
        <v>80</v>
      </c>
      <c r="D131" s="69">
        <f>(C63*(1-'5.Closing Stock &amp; W Capital'!$D$15))*$C$131*D$124</f>
        <v>0</v>
      </c>
      <c r="E131" s="69">
        <f>((D63*(1-'5.Closing Stock &amp; W Capital'!$D$15))+(C63*'5.Closing Stock &amp; W Capital'!$D$15))*$C$131*E$124</f>
        <v>0</v>
      </c>
      <c r="F131" s="69">
        <f>((E63*(1-'5.Closing Stock &amp; W Capital'!$D$15))+(D63*'5.Closing Stock &amp; W Capital'!$D$15))*$C$131*F$124</f>
        <v>0</v>
      </c>
      <c r="G131" s="69">
        <f>((F63*(1-'5.Closing Stock &amp; W Capital'!$D$15))+(E63*'5.Closing Stock &amp; W Capital'!$D$15))*$C$131*G124</f>
        <v>0</v>
      </c>
      <c r="H131" s="69">
        <f>((G63*(1-'5.Closing Stock &amp; W Capital'!$D$15))+(F63*'5.Closing Stock &amp; W Capital'!$D$15))*$C$131*H124</f>
        <v>0</v>
      </c>
      <c r="I131" s="69">
        <f>((H63*(1-'5.Closing Stock &amp; W Capital'!$D$15))+(G63*'5.Closing Stock &amp; W Capital'!$D$15))*$C$131*I124</f>
        <v>0</v>
      </c>
      <c r="J131" s="69">
        <f>((I63*(1-'5.Closing Stock &amp; W Capital'!$D$15))+(H63*'5.Closing Stock &amp; W Capital'!$D$15))*$C$131*J124</f>
        <v>0</v>
      </c>
      <c r="K131" s="67"/>
      <c r="U131" s="141"/>
      <c r="V131" s="67"/>
      <c r="W131" s="67"/>
    </row>
    <row r="132" spans="1:23">
      <c r="A132" s="68">
        <f t="shared" si="52"/>
        <v>0</v>
      </c>
      <c r="B132" s="68"/>
      <c r="C132" s="184">
        <v>65</v>
      </c>
      <c r="D132" s="69">
        <f>(C64*(1-'5.Closing Stock &amp; W Capital'!$D$15))*$C$132*D$124</f>
        <v>0</v>
      </c>
      <c r="E132" s="69">
        <f>((D64*(1-'5.Closing Stock &amp; W Capital'!$D$15))+(C64*'5.Closing Stock &amp; W Capital'!$D$15))*$C$132*E$124</f>
        <v>0</v>
      </c>
      <c r="F132" s="69">
        <f>((E64*(1-'5.Closing Stock &amp; W Capital'!$D$15))+(D64*'5.Closing Stock &amp; W Capital'!$D$15))*$C$132*F$124</f>
        <v>0</v>
      </c>
      <c r="G132" s="69">
        <f>((F64*(1-'5.Closing Stock &amp; W Capital'!$D$15))+(E64*'5.Closing Stock &amp; W Capital'!$D$15))*$C$132*G124</f>
        <v>0</v>
      </c>
      <c r="H132" s="69">
        <f>((G64*(1-'5.Closing Stock &amp; W Capital'!$D$15))+(F64*'5.Closing Stock &amp; W Capital'!$D$15))*$C$132*H124</f>
        <v>0</v>
      </c>
      <c r="I132" s="69">
        <f>((H64*(1-'5.Closing Stock &amp; W Capital'!$D$15))+(G64*'5.Closing Stock &amp; W Capital'!$D$15))*$C$132*I124</f>
        <v>0</v>
      </c>
      <c r="J132" s="69">
        <f>((I64*(1-'5.Closing Stock &amp; W Capital'!$D$15))+(H64*'5.Closing Stock &amp; W Capital'!$D$15))*$C$132*J124</f>
        <v>0</v>
      </c>
      <c r="K132" s="67"/>
      <c r="U132" s="67"/>
      <c r="V132" s="67"/>
      <c r="W132" s="67"/>
    </row>
    <row r="133" spans="1:23">
      <c r="A133" s="68">
        <f t="shared" si="52"/>
        <v>0</v>
      </c>
      <c r="B133" s="68"/>
      <c r="C133" s="184">
        <v>85</v>
      </c>
      <c r="D133" s="69">
        <f>(C65*(1-'5.Closing Stock &amp; W Capital'!$D$15))*$C$133*D$124</f>
        <v>0</v>
      </c>
      <c r="E133" s="69">
        <f>((D65*(1-'5.Closing Stock &amp; W Capital'!$D$15))+(C65*'5.Closing Stock &amp; W Capital'!$D$15))*$C$133*E$124</f>
        <v>0</v>
      </c>
      <c r="F133" s="69">
        <f>((E65*(1-'5.Closing Stock &amp; W Capital'!$D$15))+(D65*'5.Closing Stock &amp; W Capital'!$D$15))*$C$133*F$124</f>
        <v>0</v>
      </c>
      <c r="G133" s="69">
        <f>((F65*(1-'5.Closing Stock &amp; W Capital'!$D$15))+(E65*'5.Closing Stock &amp; W Capital'!$D$15))*$C$133*G$124</f>
        <v>0</v>
      </c>
      <c r="H133" s="69">
        <f>((G65*(1-'5.Closing Stock &amp; W Capital'!$D$15))+(F65*'5.Closing Stock &amp; W Capital'!$D$15))*$C$133*H$124</f>
        <v>0</v>
      </c>
      <c r="I133" s="69">
        <f>((H65*(1-'5.Closing Stock &amp; W Capital'!$D$15))+(G65*'5.Closing Stock &amp; W Capital'!$D$15))*$C$133*I$124</f>
        <v>0</v>
      </c>
      <c r="J133" s="69">
        <f>((I65*(1-'5.Closing Stock &amp; W Capital'!$D$15))+(H65*'5.Closing Stock &amp; W Capital'!$D$15))*$C$133*J$124</f>
        <v>0</v>
      </c>
      <c r="K133" s="67"/>
      <c r="U133" s="67"/>
      <c r="V133" s="67"/>
      <c r="W133" s="67"/>
    </row>
    <row r="134" spans="1:23">
      <c r="A134" s="68">
        <f t="shared" si="52"/>
        <v>0</v>
      </c>
      <c r="B134" s="68"/>
      <c r="C134" s="184">
        <v>37</v>
      </c>
      <c r="D134" s="69">
        <f>(C66*(1-'5.Closing Stock &amp; W Capital'!$D$15))*$C$134*D$124</f>
        <v>0</v>
      </c>
      <c r="E134" s="69">
        <f>((D66*(1-'5.Closing Stock &amp; W Capital'!$D$15))+(C66*'5.Closing Stock &amp; W Capital'!$D$15))*$C$135*E$124</f>
        <v>0</v>
      </c>
      <c r="F134" s="69">
        <f>((E66*(1-'5.Closing Stock &amp; W Capital'!$D$15))+(D66*'5.Closing Stock &amp; W Capital'!$D$15))*$C$135*F$124</f>
        <v>0</v>
      </c>
      <c r="G134" s="69">
        <f>((F66*(1-'5.Closing Stock &amp; W Capital'!$D$15))+(E66*'5.Closing Stock &amp; W Capital'!$D$15))*$C$135*G$124</f>
        <v>0</v>
      </c>
      <c r="H134" s="69">
        <f>((G66*(1-'5.Closing Stock &amp; W Capital'!$D$15))+(F66*'5.Closing Stock &amp; W Capital'!$D$15))*$C$135*H$124</f>
        <v>0</v>
      </c>
      <c r="I134" s="69">
        <f>((H66*(1-'5.Closing Stock &amp; W Capital'!$D$15))+(G66*'5.Closing Stock &amp; W Capital'!$D$15))*$C$135*I$124</f>
        <v>0</v>
      </c>
      <c r="J134" s="69">
        <f>((I66*(1-'5.Closing Stock &amp; W Capital'!$D$15))+(H66*'5.Closing Stock &amp; W Capital'!$D$15))*$C$135*J$124</f>
        <v>0</v>
      </c>
      <c r="K134" s="67"/>
      <c r="U134" s="67"/>
      <c r="V134" s="67"/>
      <c r="W134" s="67"/>
    </row>
    <row r="135" spans="1:23">
      <c r="A135" s="68">
        <f t="shared" si="52"/>
        <v>0</v>
      </c>
      <c r="B135" s="68"/>
      <c r="C135" s="184">
        <v>75</v>
      </c>
      <c r="D135" s="69">
        <f>(C67*(1-'5.Closing Stock &amp; W Capital'!$D$15))*$C$135*D$124</f>
        <v>0</v>
      </c>
      <c r="E135" s="69">
        <f>((D67*(1-'5.Closing Stock &amp; W Capital'!$D$15))+(C67*'5.Closing Stock &amp; W Capital'!$D$15))*$C$135*E$124</f>
        <v>0</v>
      </c>
      <c r="F135" s="69">
        <f>((E67*(1-'5.Closing Stock &amp; W Capital'!$D$15))+(D67*'5.Closing Stock &amp; W Capital'!$D$15))*$C$135*F$124</f>
        <v>0</v>
      </c>
      <c r="G135" s="69">
        <f>((F67*(1-'5.Closing Stock &amp; W Capital'!$D$15))+(E67*'5.Closing Stock &amp; W Capital'!$D$15))*$C$135*G$124</f>
        <v>0</v>
      </c>
      <c r="H135" s="69">
        <f>((G67*(1-'5.Closing Stock &amp; W Capital'!$D$15))+(F67*'5.Closing Stock &amp; W Capital'!$D$15))*$C$135*H$124</f>
        <v>0</v>
      </c>
      <c r="I135" s="69">
        <f>((H67*(1-'5.Closing Stock &amp; W Capital'!$D$15))+(G67*'5.Closing Stock &amp; W Capital'!$D$15))*$C$135*I$124</f>
        <v>0</v>
      </c>
      <c r="J135" s="69">
        <f>((I67*(1-'5.Closing Stock &amp; W Capital'!$D$15))+(H67*'5.Closing Stock &amp; W Capital'!$D$15))*$C$135*J$124</f>
        <v>0</v>
      </c>
      <c r="K135" s="67"/>
      <c r="U135" s="67"/>
      <c r="V135" s="67"/>
      <c r="W135" s="67"/>
    </row>
    <row r="136" spans="1:23">
      <c r="A136" s="68">
        <f t="shared" si="52"/>
        <v>0</v>
      </c>
      <c r="B136" s="68"/>
      <c r="C136" s="184">
        <v>30</v>
      </c>
      <c r="D136" s="69">
        <f>(C68*(1-'5.Closing Stock &amp; W Capital'!$D$15))*$C$136*D$124</f>
        <v>0</v>
      </c>
      <c r="E136" s="69">
        <f>((D68*(1-'5.Closing Stock &amp; W Capital'!$D$15))+(C68*'5.Closing Stock &amp; W Capital'!$D$15))*$C$136*E$124</f>
        <v>0</v>
      </c>
      <c r="F136" s="69">
        <f>((E68*(1-'5.Closing Stock &amp; W Capital'!$D$15))+(D68*'5.Closing Stock &amp; W Capital'!$D$15))*$C$136*F$124</f>
        <v>0</v>
      </c>
      <c r="G136" s="69">
        <f>((F68*(1-'5.Closing Stock &amp; W Capital'!$D$15))+(E68*'5.Closing Stock &amp; W Capital'!$D$15))*$C$136*G$124</f>
        <v>0</v>
      </c>
      <c r="H136" s="69">
        <f>((G68*(1-'5.Closing Stock &amp; W Capital'!$D$15))+(F68*'5.Closing Stock &amp; W Capital'!$D$15))*$C$136*H$124</f>
        <v>0</v>
      </c>
      <c r="I136" s="69">
        <f>((H68*(1-'5.Closing Stock &amp; W Capital'!$D$15))+(G68*'5.Closing Stock &amp; W Capital'!$D$15))*$C$136*I$124</f>
        <v>0</v>
      </c>
      <c r="J136" s="69">
        <f>((I68*(1-'5.Closing Stock &amp; W Capital'!$D$15))+(H68*'5.Closing Stock &amp; W Capital'!$D$15))*$C$136*J$124</f>
        <v>0</v>
      </c>
      <c r="K136" s="67"/>
      <c r="U136" s="67"/>
      <c r="V136" s="67"/>
      <c r="W136" s="67"/>
    </row>
    <row r="137" spans="1:23">
      <c r="A137" s="68">
        <f t="shared" si="52"/>
        <v>0</v>
      </c>
      <c r="B137" s="68"/>
      <c r="C137" s="184">
        <v>30</v>
      </c>
      <c r="D137" s="69">
        <f>(C69*(1-'5.Closing Stock &amp; W Capital'!$D$15))*$C$137*D$124</f>
        <v>0</v>
      </c>
      <c r="E137" s="69">
        <f>((D69*(1-'5.Closing Stock &amp; W Capital'!$D$15))+(C69*'5.Closing Stock &amp; W Capital'!$D$15))*$C$137*E$124</f>
        <v>0</v>
      </c>
      <c r="F137" s="69">
        <f>((E69*(1-'5.Closing Stock &amp; W Capital'!$D$15))+(D69*'5.Closing Stock &amp; W Capital'!$D$15))*$C$137*F$124</f>
        <v>0</v>
      </c>
      <c r="G137" s="69">
        <f>((F69*(1-'5.Closing Stock &amp; W Capital'!$D$15))+(E69*'5.Closing Stock &amp; W Capital'!$D$15))*$C$137*G$124</f>
        <v>0</v>
      </c>
      <c r="H137" s="69">
        <f>((G69*(1-'5.Closing Stock &amp; W Capital'!$D$15))+(F69*'5.Closing Stock &amp; W Capital'!$D$15))*$C$137*H$124</f>
        <v>0</v>
      </c>
      <c r="I137" s="69">
        <f>((H69*(1-'5.Closing Stock &amp; W Capital'!$D$15))+(G69*'5.Closing Stock &amp; W Capital'!$D$15))*$C$137*I$124</f>
        <v>0</v>
      </c>
      <c r="J137" s="69">
        <f>((I69*(1-'5.Closing Stock &amp; W Capital'!$D$15))+(H69*'5.Closing Stock &amp; W Capital'!$D$15))*$C$137*J$124</f>
        <v>0</v>
      </c>
      <c r="K137" s="67"/>
      <c r="U137" s="67"/>
      <c r="V137" s="67"/>
      <c r="W137" s="67"/>
    </row>
    <row r="138" spans="1:23">
      <c r="A138" s="70" t="str">
        <f t="shared" si="52"/>
        <v>Rabi Crop</v>
      </c>
      <c r="B138" s="68"/>
      <c r="C138" s="184"/>
      <c r="D138" s="69"/>
      <c r="E138" s="69"/>
      <c r="F138" s="69"/>
      <c r="G138" s="69"/>
      <c r="H138" s="69"/>
      <c r="I138" s="69"/>
      <c r="J138" s="69"/>
      <c r="K138" s="67"/>
      <c r="U138" s="67"/>
      <c r="V138" s="67"/>
      <c r="W138" s="67"/>
    </row>
    <row r="139" spans="1:23">
      <c r="A139" s="68">
        <f t="shared" si="52"/>
        <v>0</v>
      </c>
      <c r="B139" s="68"/>
      <c r="C139" s="184">
        <v>40</v>
      </c>
      <c r="D139" s="69">
        <f>(C71*(1-'5.Closing Stock &amp; W Capital'!$D$15))*$C$139*D$124</f>
        <v>0</v>
      </c>
      <c r="E139" s="69">
        <f>((D71*(1-'5.Closing Stock &amp; W Capital'!$D$15))+(C71*'5.Closing Stock &amp; W Capital'!$D$15))*$C$139*E$124</f>
        <v>0</v>
      </c>
      <c r="F139" s="69">
        <f>((E71*(1-'5.Closing Stock &amp; W Capital'!$D$15))+(D71*'5.Closing Stock &amp; W Capital'!$D$15))*$C$139*F$124</f>
        <v>0</v>
      </c>
      <c r="G139" s="69">
        <f>((F71*(1-'5.Closing Stock &amp; W Capital'!$D$15))+(E71*'5.Closing Stock &amp; W Capital'!$D$15))*$C$139*G$124</f>
        <v>0</v>
      </c>
      <c r="H139" s="69">
        <f>((G71*(1-'5.Closing Stock &amp; W Capital'!$D$15))+(F71*'5.Closing Stock &amp; W Capital'!$D$15))*$C$139*H$124</f>
        <v>0</v>
      </c>
      <c r="I139" s="69">
        <f>((H71*(1-'5.Closing Stock &amp; W Capital'!$D$15))+(G71*'5.Closing Stock &amp; W Capital'!$D$15))*$C$139*I$124</f>
        <v>0</v>
      </c>
      <c r="J139" s="69">
        <f>((I71*(1-'5.Closing Stock &amp; W Capital'!$D$15))+(H71*'5.Closing Stock &amp; W Capital'!$D$15))*$C$139*J$124</f>
        <v>0</v>
      </c>
      <c r="K139" s="67"/>
      <c r="U139" s="67"/>
      <c r="V139" s="67"/>
      <c r="W139" s="67"/>
    </row>
    <row r="140" spans="1:23">
      <c r="A140" s="68">
        <f t="shared" si="52"/>
        <v>0</v>
      </c>
      <c r="B140" s="68"/>
      <c r="C140" s="184">
        <v>75</v>
      </c>
      <c r="D140" s="69">
        <f>(C72*(1-'5.Closing Stock &amp; W Capital'!$D$15))*$C$140*D$124</f>
        <v>0</v>
      </c>
      <c r="E140" s="69">
        <f>((D72*(1-'5.Closing Stock &amp; W Capital'!$D$15))+(C72*'5.Closing Stock &amp; W Capital'!$D$15))*$C$140*E$124</f>
        <v>0</v>
      </c>
      <c r="F140" s="69">
        <f>((E72*(1-'5.Closing Stock &amp; W Capital'!$D$15))+(D72*'5.Closing Stock &amp; W Capital'!$D$15))*$C$140*F$124</f>
        <v>0</v>
      </c>
      <c r="G140" s="69">
        <f>((F72*(1-'5.Closing Stock &amp; W Capital'!$D$15))+(E72*'5.Closing Stock &amp; W Capital'!$D$15))*$C$140*G$124</f>
        <v>0</v>
      </c>
      <c r="H140" s="69">
        <f>((G72*(1-'5.Closing Stock &amp; W Capital'!$D$15))+(F72*'5.Closing Stock &amp; W Capital'!$D$15))*$C$140*H$124</f>
        <v>0</v>
      </c>
      <c r="I140" s="69">
        <f>((H72*(1-'5.Closing Stock &amp; W Capital'!$D$15))+(G72*'5.Closing Stock &amp; W Capital'!$D$15))*$C$140*I$124</f>
        <v>0</v>
      </c>
      <c r="J140" s="69">
        <f>((I72*(1-'5.Closing Stock &amp; W Capital'!$D$15))+(H72*'5.Closing Stock &amp; W Capital'!$D$15))*$C$140*J$124</f>
        <v>0</v>
      </c>
      <c r="K140" s="67"/>
      <c r="U140" s="67"/>
      <c r="V140" s="67"/>
      <c r="W140" s="67"/>
    </row>
    <row r="141" spans="1:23">
      <c r="A141" s="68">
        <f t="shared" si="52"/>
        <v>0</v>
      </c>
      <c r="B141" s="68"/>
      <c r="C141" s="184">
        <v>27</v>
      </c>
      <c r="D141" s="69">
        <f>(C73*(1-'5.Closing Stock &amp; W Capital'!$D$15))*$C$141*D$124</f>
        <v>0</v>
      </c>
      <c r="E141" s="69">
        <f>((D73*(1-'5.Closing Stock &amp; W Capital'!$D$15))+(C73*'5.Closing Stock &amp; W Capital'!$D$15))*$C$141*E$124</f>
        <v>0</v>
      </c>
      <c r="F141" s="69">
        <f>((E73*(1-'5.Closing Stock &amp; W Capital'!$D$15))+(D73*'5.Closing Stock &amp; W Capital'!$D$15))*$C$141*F$124</f>
        <v>0</v>
      </c>
      <c r="G141" s="69">
        <f>((F73*(1-'5.Closing Stock &amp; W Capital'!$D$15))+(E73*'5.Closing Stock &amp; W Capital'!$D$15))*$C$141*G$124</f>
        <v>0</v>
      </c>
      <c r="H141" s="69">
        <f>((G73*(1-'5.Closing Stock &amp; W Capital'!$D$15))+(F73*'5.Closing Stock &amp; W Capital'!$D$15))*$C$141*H$124</f>
        <v>0</v>
      </c>
      <c r="I141" s="69">
        <f>((H73*(1-'5.Closing Stock &amp; W Capital'!$D$15))+(G73*'5.Closing Stock &amp; W Capital'!$D$15))*$C$141*I$124</f>
        <v>0</v>
      </c>
      <c r="J141" s="69">
        <f>((I73*(1-'5.Closing Stock &amp; W Capital'!$D$15))+(H73*'5.Closing Stock &amp; W Capital'!$D$15))*$C$141*J$124</f>
        <v>0</v>
      </c>
      <c r="K141" s="67"/>
      <c r="U141" s="67"/>
      <c r="V141" s="67"/>
      <c r="W141" s="67"/>
    </row>
    <row r="142" spans="1:23">
      <c r="A142" s="68">
        <f t="shared" si="52"/>
        <v>0</v>
      </c>
      <c r="B142" s="68"/>
      <c r="C142" s="184">
        <v>27</v>
      </c>
      <c r="D142" s="69">
        <f>(C74*(1-'5.Closing Stock &amp; W Capital'!$D$15))*$C$142*D$124</f>
        <v>0</v>
      </c>
      <c r="E142" s="69">
        <f>((D74*(1-'5.Closing Stock &amp; W Capital'!$D$15))+(C74*'5.Closing Stock &amp; W Capital'!$D$15))*$C$142*E$124</f>
        <v>0</v>
      </c>
      <c r="F142" s="69">
        <f>((E74*(1-'5.Closing Stock &amp; W Capital'!$D$15))+(D74*'5.Closing Stock &amp; W Capital'!$D$15))*$C$142*F$124</f>
        <v>0</v>
      </c>
      <c r="G142" s="69">
        <f>((F74*(1-'5.Closing Stock &amp; W Capital'!$D$15))+(E74*'5.Closing Stock &amp; W Capital'!$D$15))*$C$142*G$124</f>
        <v>0</v>
      </c>
      <c r="H142" s="69">
        <f>((G74*(1-'5.Closing Stock &amp; W Capital'!$D$15))+(F74*'5.Closing Stock &amp; W Capital'!$D$15))*$C$142*H$124</f>
        <v>0</v>
      </c>
      <c r="I142" s="69">
        <f>((H74*(1-'5.Closing Stock &amp; W Capital'!$D$15))+(G74*'5.Closing Stock &amp; W Capital'!$D$15))*$C$142*I$124</f>
        <v>0</v>
      </c>
      <c r="J142" s="69">
        <f>((I74*(1-'5.Closing Stock &amp; W Capital'!$D$15))+(H74*'5.Closing Stock &amp; W Capital'!$D$15))*$C$142*J$124</f>
        <v>0</v>
      </c>
      <c r="K142" s="67"/>
      <c r="U142" s="67"/>
      <c r="V142" s="67"/>
      <c r="W142" s="67"/>
    </row>
    <row r="143" spans="1:23">
      <c r="A143" s="68">
        <f t="shared" si="52"/>
        <v>0</v>
      </c>
      <c r="B143" s="68"/>
      <c r="C143" s="184"/>
      <c r="D143" s="69">
        <f>(C75*(1-'5.Closing Stock &amp; W Capital'!$D$15))*$C$143*D$124</f>
        <v>0</v>
      </c>
      <c r="E143" s="69">
        <f>((D75*(1-'5.Closing Stock &amp; W Capital'!$D$15))+(C75*'5.Closing Stock &amp; W Capital'!$D$15))*$C$143*E$124</f>
        <v>0</v>
      </c>
      <c r="F143" s="69">
        <f>((E75*(1-'5.Closing Stock &amp; W Capital'!$D$15))+(D75*'5.Closing Stock &amp; W Capital'!$D$15))*$C$143*F$124</f>
        <v>0</v>
      </c>
      <c r="G143" s="69">
        <f>((F75*(1-'5.Closing Stock &amp; W Capital'!$D$15))+(E75*'5.Closing Stock &amp; W Capital'!$D$15))*$C$143*G$124</f>
        <v>0</v>
      </c>
      <c r="H143" s="69">
        <f>((G75*(1-'5.Closing Stock &amp; W Capital'!$D$15))+(F75*'5.Closing Stock &amp; W Capital'!$D$15))*$C$143*H$124</f>
        <v>0</v>
      </c>
      <c r="I143" s="69">
        <f>((H75*(1-'5.Closing Stock &amp; W Capital'!$D$15))+(G75*'5.Closing Stock &amp; W Capital'!$D$15))*$C$143*I$124</f>
        <v>0</v>
      </c>
      <c r="J143" s="69">
        <f>((I75*(1-'5.Closing Stock &amp; W Capital'!$D$15))+(H75*'5.Closing Stock &amp; W Capital'!$D$15))*$C$143*J$124</f>
        <v>0</v>
      </c>
      <c r="K143" s="67"/>
      <c r="U143" s="67"/>
      <c r="V143" s="67"/>
      <c r="W143" s="67"/>
    </row>
    <row r="144" spans="1:23">
      <c r="A144" s="68">
        <f t="shared" si="52"/>
        <v>0</v>
      </c>
      <c r="B144" s="68"/>
      <c r="C144" s="184"/>
      <c r="D144" s="69">
        <f>(C76*(1-'5.Closing Stock &amp; W Capital'!$D$15))*$C$144*D$124</f>
        <v>0</v>
      </c>
      <c r="E144" s="69">
        <f>((D76*(1-'5.Closing Stock &amp; W Capital'!$D$15))+(C76*'5.Closing Stock &amp; W Capital'!$D$15))*$C$144*E$124</f>
        <v>0</v>
      </c>
      <c r="F144" s="69">
        <f>((E76*(1-'5.Closing Stock &amp; W Capital'!$D$15))+(D76*'5.Closing Stock &amp; W Capital'!$D$15))*$C$144*F$124</f>
        <v>0</v>
      </c>
      <c r="G144" s="69">
        <f>((F76*(1-'5.Closing Stock &amp; W Capital'!$D$15))+(E76*'5.Closing Stock &amp; W Capital'!$D$15))*$C$144*G$124</f>
        <v>0</v>
      </c>
      <c r="H144" s="69">
        <f>((G76*(1-'5.Closing Stock &amp; W Capital'!$D$15))+(F76*'5.Closing Stock &amp; W Capital'!$D$15))*$C$144*H$124</f>
        <v>0</v>
      </c>
      <c r="I144" s="69">
        <f>((H76*(1-'5.Closing Stock &amp; W Capital'!$D$15))+(G76*'5.Closing Stock &amp; W Capital'!$D$15))*$C$144*I$124</f>
        <v>0</v>
      </c>
      <c r="J144" s="69">
        <f>((I76*(1-'5.Closing Stock &amp; W Capital'!$D$15))+(H76*'5.Closing Stock &amp; W Capital'!$D$15))*$C$144*J$124</f>
        <v>0</v>
      </c>
      <c r="K144" s="67"/>
      <c r="U144" s="67"/>
      <c r="V144" s="67"/>
      <c r="W144" s="67"/>
    </row>
    <row r="145" spans="1:23">
      <c r="A145" s="68">
        <f t="shared" si="52"/>
        <v>0</v>
      </c>
      <c r="B145" s="68"/>
      <c r="C145" s="184"/>
      <c r="D145" s="69">
        <f>(C77*(1-'5.Closing Stock &amp; W Capital'!$D$15))*$C$145*D$124</f>
        <v>0</v>
      </c>
      <c r="E145" s="69">
        <f>((D77*(1-'5.Closing Stock &amp; W Capital'!$D$15))+(C77*'5.Closing Stock &amp; W Capital'!$D$15))*$C$145*E$124</f>
        <v>0</v>
      </c>
      <c r="F145" s="69">
        <f>((E77*(1-'5.Closing Stock &amp; W Capital'!$D$15))+(D77*'5.Closing Stock &amp; W Capital'!$D$15))*$C$145*F$124</f>
        <v>0</v>
      </c>
      <c r="G145" s="69">
        <f>((F77*(1-'5.Closing Stock &amp; W Capital'!$D$15))+(E77*'5.Closing Stock &amp; W Capital'!$D$15))*$C$145*G$124</f>
        <v>0</v>
      </c>
      <c r="H145" s="69">
        <f>((G77*(1-'5.Closing Stock &amp; W Capital'!$D$15))+(F77*'5.Closing Stock &amp; W Capital'!$D$15))*$C$145*H$124</f>
        <v>0</v>
      </c>
      <c r="I145" s="69">
        <f>((H77*(1-'5.Closing Stock &amp; W Capital'!$D$15))+(G77*'5.Closing Stock &amp; W Capital'!$D$15))*$C$145*I$124</f>
        <v>0</v>
      </c>
      <c r="J145" s="69">
        <f>((I77*(1-'5.Closing Stock &amp; W Capital'!$D$15))+(H77*'5.Closing Stock &amp; W Capital'!$D$15))*$C$145*J$124</f>
        <v>0</v>
      </c>
      <c r="K145" s="67"/>
      <c r="U145" s="67"/>
      <c r="V145" s="67"/>
      <c r="W145" s="67"/>
    </row>
    <row r="146" spans="1:23">
      <c r="A146" s="68">
        <f t="shared" si="52"/>
        <v>0</v>
      </c>
      <c r="B146" s="68"/>
      <c r="C146" s="184"/>
      <c r="D146" s="69">
        <f>(C78*(1-'5.Closing Stock &amp; W Capital'!$D$15))*$C$146*D$124</f>
        <v>0</v>
      </c>
      <c r="E146" s="69">
        <f>((D78*(1-'5.Closing Stock &amp; W Capital'!$D$15))+(C78*'5.Closing Stock &amp; W Capital'!$D$15))*$C$146*E$124</f>
        <v>0</v>
      </c>
      <c r="F146" s="69">
        <f>((E78*(1-'5.Closing Stock &amp; W Capital'!$D$15))+(D78*'5.Closing Stock &amp; W Capital'!$D$15))*$C$146*F$124</f>
        <v>0</v>
      </c>
      <c r="G146" s="69">
        <f>((F78*(1-'5.Closing Stock &amp; W Capital'!$D$15))+(E78*'5.Closing Stock &amp; W Capital'!$D$15))*$C$146*G$124</f>
        <v>0</v>
      </c>
      <c r="H146" s="69">
        <f>((G78*(1-'5.Closing Stock &amp; W Capital'!$D$15))+(F78*'5.Closing Stock &amp; W Capital'!$D$15))*$C$146*H$124</f>
        <v>0</v>
      </c>
      <c r="I146" s="69">
        <f>((H78*(1-'5.Closing Stock &amp; W Capital'!$D$15))+(G78*'5.Closing Stock &amp; W Capital'!$D$15))*$C$146*I$124</f>
        <v>0</v>
      </c>
      <c r="J146" s="69">
        <f>((I78*(1-'5.Closing Stock &amp; W Capital'!$D$15))+(H78*'5.Closing Stock &amp; W Capital'!$D$15))*$C$146*J$124</f>
        <v>0</v>
      </c>
      <c r="K146" s="67"/>
      <c r="U146" s="67"/>
      <c r="V146" s="67"/>
      <c r="W146" s="67"/>
    </row>
    <row r="147" spans="1:23">
      <c r="A147" s="70" t="str">
        <f t="shared" si="52"/>
        <v>Summer</v>
      </c>
      <c r="B147" s="68"/>
      <c r="C147" s="184"/>
      <c r="D147" s="69"/>
      <c r="E147" s="69"/>
      <c r="F147" s="69"/>
      <c r="G147" s="69"/>
      <c r="H147" s="69"/>
      <c r="I147" s="69"/>
      <c r="J147" s="69"/>
      <c r="K147" s="67"/>
      <c r="U147" s="67"/>
      <c r="V147" s="67"/>
      <c r="W147" s="67"/>
    </row>
    <row r="148" spans="1:23">
      <c r="A148" s="68">
        <f t="shared" si="52"/>
        <v>0</v>
      </c>
      <c r="B148" s="68"/>
      <c r="C148" s="184"/>
      <c r="D148" s="69">
        <f>(C80*(1-'5.Closing Stock &amp; W Capital'!$D$15))*$C$148*D$124</f>
        <v>0</v>
      </c>
      <c r="E148" s="69">
        <f>((D80*(1-'5.Closing Stock &amp; W Capital'!$D$15))+(C80*'5.Closing Stock &amp; W Capital'!$D$15))*$C$148*E$124</f>
        <v>0</v>
      </c>
      <c r="F148" s="69">
        <f>((E80*(1-'5.Closing Stock &amp; W Capital'!$D$15))+(D80*'5.Closing Stock &amp; W Capital'!$D$15))*$C$148*F$124</f>
        <v>0</v>
      </c>
      <c r="G148" s="69">
        <f>((F80*(1-'5.Closing Stock &amp; W Capital'!$D$15))+(E80*'5.Closing Stock &amp; W Capital'!$D$15))*$C$148*G$124</f>
        <v>0</v>
      </c>
      <c r="H148" s="69">
        <f>((G80*(1-'5.Closing Stock &amp; W Capital'!$D$15))+(F80*'5.Closing Stock &amp; W Capital'!$D$15))*$C$148*H$124</f>
        <v>0</v>
      </c>
      <c r="I148" s="69">
        <f>((H80*(1-'5.Closing Stock &amp; W Capital'!$D$15))+(G80*'5.Closing Stock &amp; W Capital'!$D$15))*$C$148*I$124</f>
        <v>0</v>
      </c>
      <c r="J148" s="69">
        <f>((I80*(1-'5.Closing Stock &amp; W Capital'!$D$15))+(H80*'5.Closing Stock &amp; W Capital'!$D$15))*$C$148*J$124</f>
        <v>0</v>
      </c>
      <c r="K148" s="67"/>
      <c r="U148" s="67"/>
      <c r="V148" s="67"/>
      <c r="W148" s="67"/>
    </row>
    <row r="149" spans="1:23">
      <c r="A149" s="68">
        <f t="shared" si="52"/>
        <v>0</v>
      </c>
      <c r="B149" s="68"/>
      <c r="C149" s="184"/>
      <c r="D149" s="69">
        <f>(C81*(1-'5.Closing Stock &amp; W Capital'!$D$15))*$C$149*D$124</f>
        <v>0</v>
      </c>
      <c r="E149" s="69">
        <f>((D81*(1-'5.Closing Stock &amp; W Capital'!$D$15))+(C81*'5.Closing Stock &amp; W Capital'!$D$15))*$C$149*E$124</f>
        <v>0</v>
      </c>
      <c r="F149" s="69">
        <f>((E81*(1-'5.Closing Stock &amp; W Capital'!$D$15))+(D81*'5.Closing Stock &amp; W Capital'!$D$15))*$C$149*F$124</f>
        <v>0</v>
      </c>
      <c r="G149" s="69">
        <f>((F81*(1-'5.Closing Stock &amp; W Capital'!$D$15))+(E81*'5.Closing Stock &amp; W Capital'!$D$15))*$C$149*G$124</f>
        <v>0</v>
      </c>
      <c r="H149" s="69">
        <f>((G81*(1-'5.Closing Stock &amp; W Capital'!$D$15))+(F81*'5.Closing Stock &amp; W Capital'!$D$15))*$C$149*H$124</f>
        <v>0</v>
      </c>
      <c r="I149" s="69">
        <f>((H81*(1-'5.Closing Stock &amp; W Capital'!$D$15))+(G81*'5.Closing Stock &amp; W Capital'!$D$15))*$C$149*I$124</f>
        <v>0</v>
      </c>
      <c r="J149" s="69">
        <f>((I81*(1-'5.Closing Stock &amp; W Capital'!$D$15))+(H81*'5.Closing Stock &amp; W Capital'!$D$15))*$C$149*J$124</f>
        <v>0</v>
      </c>
      <c r="K149" s="67"/>
      <c r="U149" s="67"/>
      <c r="V149" s="67"/>
      <c r="W149" s="67"/>
    </row>
    <row r="150" spans="1:23">
      <c r="A150" s="68">
        <f t="shared" si="52"/>
        <v>0</v>
      </c>
      <c r="B150" s="68"/>
      <c r="C150" s="184"/>
      <c r="D150" s="69">
        <f>(C82*(1-'5.Closing Stock &amp; W Capital'!$D$15))*$C$150*D$124</f>
        <v>0</v>
      </c>
      <c r="E150" s="69">
        <f>((D82*(1-'5.Closing Stock &amp; W Capital'!$D$15))+(C82*'5.Closing Stock &amp; W Capital'!$D$15))*$C$150*E$124</f>
        <v>0</v>
      </c>
      <c r="F150" s="69">
        <f>((E82*(1-'5.Closing Stock &amp; W Capital'!$D$15))+(D82*'5.Closing Stock &amp; W Capital'!$D$15))*$C$150*F$124</f>
        <v>0</v>
      </c>
      <c r="G150" s="69">
        <f>((F82*(1-'5.Closing Stock &amp; W Capital'!$D$15))+(E82*'5.Closing Stock &amp; W Capital'!$D$15))*$C$150*G$124</f>
        <v>0</v>
      </c>
      <c r="H150" s="69">
        <f>((G82*(1-'5.Closing Stock &amp; W Capital'!$D$15))+(F82*'5.Closing Stock &amp; W Capital'!$D$15))*$C$150*H$124</f>
        <v>0</v>
      </c>
      <c r="I150" s="69">
        <f>((H82*(1-'5.Closing Stock &amp; W Capital'!$D$15))+(G82*'5.Closing Stock &amp; W Capital'!$D$15))*$C$150*I$124</f>
        <v>0</v>
      </c>
      <c r="J150" s="69">
        <f>((I82*(1-'5.Closing Stock &amp; W Capital'!$D$15))+(H82*'5.Closing Stock &amp; W Capital'!$D$15))*$C$150*J$124</f>
        <v>0</v>
      </c>
      <c r="K150" s="67"/>
      <c r="U150" s="67"/>
      <c r="V150" s="67"/>
      <c r="W150" s="67"/>
    </row>
    <row r="151" spans="1:23">
      <c r="A151" s="68">
        <f t="shared" si="52"/>
        <v>0</v>
      </c>
      <c r="B151" s="68"/>
      <c r="C151" s="184"/>
      <c r="D151" s="69">
        <f>(C83*(1-'5.Closing Stock &amp; W Capital'!$D$15))*$C$151*D$124</f>
        <v>0</v>
      </c>
      <c r="E151" s="69">
        <f>((D83*(1-'5.Closing Stock &amp; W Capital'!$D$15))+(C83*'5.Closing Stock &amp; W Capital'!$D$15))*$C$151*E$124</f>
        <v>0</v>
      </c>
      <c r="F151" s="69">
        <f>((E83*(1-'5.Closing Stock &amp; W Capital'!$D$15))+(D83*'5.Closing Stock &amp; W Capital'!$D$15))*$C$151*F$124</f>
        <v>0</v>
      </c>
      <c r="G151" s="69">
        <f>((F83*(1-'5.Closing Stock &amp; W Capital'!$D$15))+(E83*'5.Closing Stock &amp; W Capital'!$D$15))*$C$151*G$124</f>
        <v>0</v>
      </c>
      <c r="H151" s="69">
        <f>((G83*(1-'5.Closing Stock &amp; W Capital'!$D$15))+(F83*'5.Closing Stock &amp; W Capital'!$D$15))*$C$151*H$124</f>
        <v>0</v>
      </c>
      <c r="I151" s="69">
        <f>((H83*(1-'5.Closing Stock &amp; W Capital'!$D$15))+(G83*'5.Closing Stock &amp; W Capital'!$D$15))*$C$151*I$124</f>
        <v>0</v>
      </c>
      <c r="J151" s="69">
        <f>((I83*(1-'5.Closing Stock &amp; W Capital'!$D$15))+(H83*'5.Closing Stock &amp; W Capital'!$D$15))*$C$151*J$124</f>
        <v>0</v>
      </c>
      <c r="K151" s="67"/>
      <c r="U151" s="67"/>
      <c r="V151" s="67"/>
      <c r="W151" s="67"/>
    </row>
    <row r="152" spans="1:23">
      <c r="A152" s="68">
        <f t="shared" si="52"/>
        <v>0</v>
      </c>
      <c r="B152" s="68"/>
      <c r="C152" s="184"/>
      <c r="D152" s="69">
        <f>(C84*(1-'5.Closing Stock &amp; W Capital'!$D$15))*$C$152*D$124</f>
        <v>0</v>
      </c>
      <c r="E152" s="69">
        <f>((D84*(1-'5.Closing Stock &amp; W Capital'!$D$15))+(C84*'5.Closing Stock &amp; W Capital'!$D$15))*$C$152*E$124</f>
        <v>0</v>
      </c>
      <c r="F152" s="69">
        <f>((E84*(1-'5.Closing Stock &amp; W Capital'!$D$15))+(D84*'5.Closing Stock &amp; W Capital'!$D$15))*$C$152*F$124</f>
        <v>0</v>
      </c>
      <c r="G152" s="69">
        <f>((F84*(1-'5.Closing Stock &amp; W Capital'!$D$15))+(E84*'5.Closing Stock &amp; W Capital'!$D$15))*$C$152*G$124</f>
        <v>0</v>
      </c>
      <c r="H152" s="69">
        <f>((G84*(1-'5.Closing Stock &amp; W Capital'!$D$15))+(F84*'5.Closing Stock &amp; W Capital'!$D$15))*$C$152*H$124</f>
        <v>0</v>
      </c>
      <c r="I152" s="69">
        <f>((H84*(1-'5.Closing Stock &amp; W Capital'!$D$15))+(G84*'5.Closing Stock &amp; W Capital'!$D$15))*$C$152*I$124</f>
        <v>0</v>
      </c>
      <c r="J152" s="69">
        <f>((I84*(1-'5.Closing Stock &amp; W Capital'!$D$15))+(H84*'5.Closing Stock &amp; W Capital'!$D$15))*$C$152*J$124</f>
        <v>0</v>
      </c>
      <c r="K152" s="67"/>
      <c r="U152" s="67"/>
      <c r="V152" s="67"/>
      <c r="W152" s="67"/>
    </row>
    <row r="153" spans="1:23">
      <c r="A153" s="68" t="str">
        <f t="shared" si="52"/>
        <v>Fruit  &amp; Vegetables Crop Production Details</v>
      </c>
      <c r="B153" s="68"/>
      <c r="C153" s="184"/>
      <c r="D153" s="69"/>
      <c r="E153" s="69"/>
      <c r="F153" s="69"/>
      <c r="G153" s="69"/>
      <c r="H153" s="69"/>
      <c r="I153" s="69"/>
      <c r="J153" s="69"/>
      <c r="K153" s="67"/>
      <c r="U153" s="67"/>
      <c r="V153" s="67"/>
      <c r="W153" s="67"/>
    </row>
    <row r="154" spans="1:23">
      <c r="A154" s="68" t="e">
        <f t="shared" si="52"/>
        <v>#REF!</v>
      </c>
      <c r="B154" s="68"/>
      <c r="C154" s="184"/>
      <c r="D154" s="69">
        <f>(C86*(1-'5.Closing Stock &amp; W Capital'!$D$15))*$C154*D$124</f>
        <v>0</v>
      </c>
      <c r="E154" s="69">
        <f>((D86*(1-'5.Closing Stock &amp; W Capital'!$D$15))+(C86*'5.Closing Stock &amp; W Capital'!$D$15))*$C154*E$124</f>
        <v>0</v>
      </c>
      <c r="F154" s="69">
        <f>((E86*(1-'5.Closing Stock &amp; W Capital'!$D$15))+(D86*'5.Closing Stock &amp; W Capital'!$D$15))*$C$152*F$124</f>
        <v>0</v>
      </c>
      <c r="G154" s="69">
        <f>((F86*(1-'5.Closing Stock &amp; W Capital'!$D$15))+(E86*'5.Closing Stock &amp; W Capital'!$D$15))*$C$152*G$124</f>
        <v>0</v>
      </c>
      <c r="H154" s="69">
        <f>((G86*(1-'5.Closing Stock &amp; W Capital'!$D$15))+(F86*'5.Closing Stock &amp; W Capital'!$D$15))*$C$152*H$124</f>
        <v>0</v>
      </c>
      <c r="I154" s="69">
        <f>((H86*(1-'5.Closing Stock &amp; W Capital'!$D$15))+(G86*'5.Closing Stock &amp; W Capital'!$D$15))*$C$152*I$124</f>
        <v>0</v>
      </c>
      <c r="J154" s="69">
        <f>((I86*(1-'5.Closing Stock &amp; W Capital'!$D$15))+(H86*'5.Closing Stock &amp; W Capital'!$D$15))*$C$152*J$124</f>
        <v>0</v>
      </c>
      <c r="K154" s="67"/>
      <c r="U154" s="67"/>
      <c r="V154" s="67"/>
      <c r="W154" s="67"/>
    </row>
    <row r="155" spans="1:23">
      <c r="A155" s="68" t="str">
        <f t="shared" si="52"/>
        <v>Cashew Nut</v>
      </c>
      <c r="B155" s="68"/>
      <c r="C155" s="184"/>
      <c r="D155" s="69">
        <f>(C87*(1-'5.Closing Stock &amp; W Capital'!$D$15))*$C155*D$124</f>
        <v>0</v>
      </c>
      <c r="E155" s="69">
        <f>((D87*(1-'5.Closing Stock &amp; W Capital'!$D$15))+(C87*'5.Closing Stock &amp; W Capital'!$D$15))*$C155*E$124</f>
        <v>0</v>
      </c>
      <c r="F155" s="69">
        <f>((E87*(1-'5.Closing Stock &amp; W Capital'!$D$15))+(D87*'5.Closing Stock &amp; W Capital'!$D$15))*$C$152*F$124</f>
        <v>0</v>
      </c>
      <c r="G155" s="69">
        <f>((F87*(1-'5.Closing Stock &amp; W Capital'!$D$15))+(E87*'5.Closing Stock &amp; W Capital'!$D$15))*$C$152*G$124</f>
        <v>0</v>
      </c>
      <c r="H155" s="69">
        <f>((G87*(1-'5.Closing Stock &amp; W Capital'!$D$15))+(F87*'5.Closing Stock &amp; W Capital'!$D$15))*$C$152*H$124</f>
        <v>0</v>
      </c>
      <c r="I155" s="69">
        <f>((H87*(1-'5.Closing Stock &amp; W Capital'!$D$15))+(G87*'5.Closing Stock &amp; W Capital'!$D$15))*$C$152*I$124</f>
        <v>0</v>
      </c>
      <c r="J155" s="69">
        <f>((I87*(1-'5.Closing Stock &amp; W Capital'!$D$15))+(H87*'5.Closing Stock &amp; W Capital'!$D$15))*$C$152*J$124</f>
        <v>0</v>
      </c>
      <c r="K155" s="67"/>
      <c r="U155" s="67"/>
      <c r="V155" s="67"/>
      <c r="W155" s="67"/>
    </row>
    <row r="156" spans="1:23">
      <c r="A156" s="68" t="str">
        <f t="shared" si="52"/>
        <v>Raw Cashew Nut</v>
      </c>
      <c r="B156" s="68"/>
      <c r="C156" s="184"/>
      <c r="D156" s="69">
        <f>(C88*(1-'5.Closing Stock &amp; W Capital'!$D$15))*$C156*D$124</f>
        <v>0</v>
      </c>
      <c r="E156" s="69">
        <f>((D88*(1-'5.Closing Stock &amp; W Capital'!$D$15))+(C88*'5.Closing Stock &amp; W Capital'!$D$15))*$C156*E$124</f>
        <v>0</v>
      </c>
      <c r="F156" s="69">
        <f>((E88*(1-'5.Closing Stock &amp; W Capital'!$D$15))+(D88*'5.Closing Stock &amp; W Capital'!$D$15))*$C$152*F$124</f>
        <v>0</v>
      </c>
      <c r="G156" s="69">
        <f>((F88*(1-'5.Closing Stock &amp; W Capital'!$D$15))+(E88*'5.Closing Stock &amp; W Capital'!$D$15))*$C$152*G$124</f>
        <v>0</v>
      </c>
      <c r="H156" s="69">
        <f>((G88*(1-'5.Closing Stock &amp; W Capital'!$D$15))+(F88*'5.Closing Stock &amp; W Capital'!$D$15))*$C$152*H$124</f>
        <v>0</v>
      </c>
      <c r="I156" s="69">
        <f>((H88*(1-'5.Closing Stock &amp; W Capital'!$D$15))+(G88*'5.Closing Stock &amp; W Capital'!$D$15))*$C$152*I$124</f>
        <v>0</v>
      </c>
      <c r="J156" s="69">
        <f>((I88*(1-'5.Closing Stock &amp; W Capital'!$D$15))+(H88*'5.Closing Stock &amp; W Capital'!$D$15))*$C$152*J$124</f>
        <v>0</v>
      </c>
      <c r="K156" s="67"/>
      <c r="U156" s="67"/>
      <c r="V156" s="67"/>
      <c r="W156" s="67"/>
    </row>
    <row r="157" spans="1:23">
      <c r="A157" s="68">
        <f t="shared" si="52"/>
        <v>0</v>
      </c>
      <c r="B157" s="68"/>
      <c r="C157" s="184"/>
      <c r="D157" s="69">
        <f>(C89*(1-'5.Closing Stock &amp; W Capital'!$D$15))*$C157*D$124</f>
        <v>0</v>
      </c>
      <c r="E157" s="69">
        <f>((D89*(1-'5.Closing Stock &amp; W Capital'!$D$15))+(C89*'5.Closing Stock &amp; W Capital'!$D$15))*$C157*E$124</f>
        <v>0</v>
      </c>
      <c r="F157" s="69">
        <f>((E89*(1-'5.Closing Stock &amp; W Capital'!$D$15))+(D89*'5.Closing Stock &amp; W Capital'!$D$15))*$C$152*F$124</f>
        <v>0</v>
      </c>
      <c r="G157" s="69">
        <f>((F89*(1-'5.Closing Stock &amp; W Capital'!$D$15))+(E89*'5.Closing Stock &amp; W Capital'!$D$15))*$C$152*G$124</f>
        <v>0</v>
      </c>
      <c r="H157" s="69">
        <f>((G89*(1-'5.Closing Stock &amp; W Capital'!$D$15))+(F89*'5.Closing Stock &amp; W Capital'!$D$15))*$C$152*H$124</f>
        <v>0</v>
      </c>
      <c r="I157" s="69">
        <f>((H89*(1-'5.Closing Stock &amp; W Capital'!$D$15))+(G89*'5.Closing Stock &amp; W Capital'!$D$15))*$C$152*I$124</f>
        <v>0</v>
      </c>
      <c r="J157" s="69">
        <f>((I89*(1-'5.Closing Stock &amp; W Capital'!$D$15))+(H89*'5.Closing Stock &amp; W Capital'!$D$15))*$C$152*J$124</f>
        <v>0</v>
      </c>
      <c r="K157" s="67"/>
      <c r="U157" s="67"/>
      <c r="V157" s="67"/>
      <c r="W157" s="67"/>
    </row>
    <row r="158" spans="1:23">
      <c r="A158" s="68">
        <f t="shared" si="52"/>
        <v>0</v>
      </c>
      <c r="B158" s="68"/>
      <c r="C158" s="184"/>
      <c r="D158" s="69">
        <f>(C90*(1-'5.Closing Stock &amp; W Capital'!$D$15))*$C158*D$124</f>
        <v>0</v>
      </c>
      <c r="E158" s="69">
        <f>((D90*(1-'5.Closing Stock &amp; W Capital'!$D$15))+(C90*'5.Closing Stock &amp; W Capital'!$D$15))*$C158*E$124</f>
        <v>0</v>
      </c>
      <c r="F158" s="69">
        <f>((E90*(1-'5.Closing Stock &amp; W Capital'!$D$15))+(D90*'5.Closing Stock &amp; W Capital'!$D$15))*$C$152*F$124</f>
        <v>0</v>
      </c>
      <c r="G158" s="69">
        <f>((F90*(1-'5.Closing Stock &amp; W Capital'!$D$15))+(E90*'5.Closing Stock &amp; W Capital'!$D$15))*$C$152*G$124</f>
        <v>0</v>
      </c>
      <c r="H158" s="69">
        <f>((G90*(1-'5.Closing Stock &amp; W Capital'!$D$15))+(F90*'5.Closing Stock &amp; W Capital'!$D$15))*$C$152*H$124</f>
        <v>0</v>
      </c>
      <c r="I158" s="69">
        <f>((H90*(1-'5.Closing Stock &amp; W Capital'!$D$15))+(G90*'5.Closing Stock &amp; W Capital'!$D$15))*$C$152*I$124</f>
        <v>0</v>
      </c>
      <c r="J158" s="69">
        <f>((I90*(1-'5.Closing Stock &amp; W Capital'!$D$15))+(H90*'5.Closing Stock &amp; W Capital'!$D$15))*$C$152*J$124</f>
        <v>0</v>
      </c>
      <c r="K158" s="67"/>
      <c r="U158" s="67"/>
      <c r="V158" s="67"/>
      <c r="W158" s="67"/>
    </row>
    <row r="159" spans="1:23">
      <c r="A159" s="68">
        <f t="shared" si="52"/>
        <v>0</v>
      </c>
      <c r="B159" s="68"/>
      <c r="C159" s="184"/>
      <c r="D159" s="69">
        <f>(C91*(1-'5.Closing Stock &amp; W Capital'!$D$15))*$C159*D$124</f>
        <v>0</v>
      </c>
      <c r="E159" s="69">
        <f>((D91*(1-'5.Closing Stock &amp; W Capital'!$D$15))+(C91*'5.Closing Stock &amp; W Capital'!$D$15))*$C159*E$124</f>
        <v>0</v>
      </c>
      <c r="F159" s="69">
        <f>((E91*(1-'5.Closing Stock &amp; W Capital'!$D$15))+(D91*'5.Closing Stock &amp; W Capital'!$D$15))*$C$152*F$124</f>
        <v>0</v>
      </c>
      <c r="G159" s="69">
        <f>((F91*(1-'5.Closing Stock &amp; W Capital'!$D$15))+(E91*'5.Closing Stock &amp; W Capital'!$D$15))*$C$152*G$124</f>
        <v>0</v>
      </c>
      <c r="H159" s="69">
        <f>((G91*(1-'5.Closing Stock &amp; W Capital'!$D$15))+(F91*'5.Closing Stock &amp; W Capital'!$D$15))*$C$152*H$124</f>
        <v>0</v>
      </c>
      <c r="I159" s="69">
        <f>((H91*(1-'5.Closing Stock &amp; W Capital'!$D$15))+(G91*'5.Closing Stock &amp; W Capital'!$D$15))*$C$152*I$124</f>
        <v>0</v>
      </c>
      <c r="J159" s="69">
        <f>((I91*(1-'5.Closing Stock &amp; W Capital'!$D$15))+(H91*'5.Closing Stock &amp; W Capital'!$D$15))*$C$152*J$124</f>
        <v>0</v>
      </c>
      <c r="K159" s="67"/>
      <c r="U159" s="67"/>
      <c r="V159" s="67"/>
      <c r="W159" s="67"/>
    </row>
    <row r="160" spans="1:23">
      <c r="A160" s="68">
        <f t="shared" si="52"/>
        <v>0</v>
      </c>
      <c r="B160" s="68"/>
      <c r="C160" s="184"/>
      <c r="D160" s="69">
        <f>(C92*(1-'5.Closing Stock &amp; W Capital'!$D$15))*$C160*D$124</f>
        <v>0</v>
      </c>
      <c r="E160" s="69">
        <f>((D92*(1-'5.Closing Stock &amp; W Capital'!$D$15))+(C92*'5.Closing Stock &amp; W Capital'!$D$15))*$C160*E$124</f>
        <v>0</v>
      </c>
      <c r="F160" s="69">
        <f>((E92*(1-'5.Closing Stock &amp; W Capital'!$D$15))+(D92*'5.Closing Stock &amp; W Capital'!$D$15))*$C$152*F$124</f>
        <v>0</v>
      </c>
      <c r="G160" s="69">
        <f>((F92*(1-'5.Closing Stock &amp; W Capital'!$D$15))+(E92*'5.Closing Stock &amp; W Capital'!$D$15))*$C$152*G$124</f>
        <v>0</v>
      </c>
      <c r="H160" s="69">
        <f>((G92*(1-'5.Closing Stock &amp; W Capital'!$D$15))+(F92*'5.Closing Stock &amp; W Capital'!$D$15))*$C$152*H$124</f>
        <v>0</v>
      </c>
      <c r="I160" s="69">
        <f>((H92*(1-'5.Closing Stock &amp; W Capital'!$D$15))+(G92*'5.Closing Stock &amp; W Capital'!$D$15))*$C$152*I$124</f>
        <v>0</v>
      </c>
      <c r="J160" s="69">
        <f>((I92*(1-'5.Closing Stock &amp; W Capital'!$D$15))+(H92*'5.Closing Stock &amp; W Capital'!$D$15))*$C$152*J$124</f>
        <v>0</v>
      </c>
      <c r="K160" s="67"/>
      <c r="U160" s="67"/>
      <c r="V160" s="67"/>
      <c r="W160" s="67"/>
    </row>
    <row r="161" spans="1:23">
      <c r="A161" s="68">
        <f t="shared" ref="A161:A179" si="53">A40</f>
        <v>0</v>
      </c>
      <c r="B161" s="68"/>
      <c r="C161" s="184"/>
      <c r="D161" s="69">
        <f>(C93*(1-'5.Closing Stock &amp; W Capital'!$D$15))*$C161*D$124</f>
        <v>0</v>
      </c>
      <c r="E161" s="69">
        <f>((D93*(1-'5.Closing Stock &amp; W Capital'!$D$15))+(C93*'5.Closing Stock &amp; W Capital'!$D$15))*$C161*E$124</f>
        <v>0</v>
      </c>
      <c r="F161" s="69">
        <f>((E93*(1-'5.Closing Stock &amp; W Capital'!$D$15))+(D93*'5.Closing Stock &amp; W Capital'!$D$15))*$C$152*F$124</f>
        <v>0</v>
      </c>
      <c r="G161" s="69">
        <f>((F93*(1-'5.Closing Stock &amp; W Capital'!$D$15))+(E93*'5.Closing Stock &amp; W Capital'!$D$15))*$C$152*G$124</f>
        <v>0</v>
      </c>
      <c r="H161" s="69">
        <f>((G93*(1-'5.Closing Stock &amp; W Capital'!$D$15))+(F93*'5.Closing Stock &amp; W Capital'!$D$15))*$C$152*H$124</f>
        <v>0</v>
      </c>
      <c r="I161" s="69">
        <f>((H93*(1-'5.Closing Stock &amp; W Capital'!$D$15))+(G93*'5.Closing Stock &amp; W Capital'!$D$15))*$C$152*I$124</f>
        <v>0</v>
      </c>
      <c r="J161" s="69">
        <f>((I93*(1-'5.Closing Stock &amp; W Capital'!$D$15))+(H93*'5.Closing Stock &amp; W Capital'!$D$15))*$C$152*J$124</f>
        <v>0</v>
      </c>
      <c r="K161" s="67"/>
      <c r="U161" s="67"/>
      <c r="V161" s="67"/>
      <c r="W161" s="67"/>
    </row>
    <row r="162" spans="1:23">
      <c r="A162" s="68">
        <f t="shared" si="53"/>
        <v>0</v>
      </c>
      <c r="B162" s="68"/>
      <c r="C162" s="184"/>
      <c r="D162" s="69">
        <f>(C94*(1-'5.Closing Stock &amp; W Capital'!$D$15))*$C162*D$124</f>
        <v>0</v>
      </c>
      <c r="E162" s="69">
        <f>((D94*(1-'5.Closing Stock &amp; W Capital'!$D$15))+(C94*'5.Closing Stock &amp; W Capital'!$D$15))*$C162*E$124</f>
        <v>0</v>
      </c>
      <c r="F162" s="69">
        <f>((E94*(1-'5.Closing Stock &amp; W Capital'!$D$15))+(D94*'5.Closing Stock &amp; W Capital'!$D$15))*$C$152*F$124</f>
        <v>0</v>
      </c>
      <c r="G162" s="69">
        <f>((F94*(1-'5.Closing Stock &amp; W Capital'!$D$15))+(E94*'5.Closing Stock &amp; W Capital'!$D$15))*$C$152*G$124</f>
        <v>0</v>
      </c>
      <c r="H162" s="69">
        <f>((G94*(1-'5.Closing Stock &amp; W Capital'!$D$15))+(F94*'5.Closing Stock &amp; W Capital'!$D$15))*$C$152*H$124</f>
        <v>0</v>
      </c>
      <c r="I162" s="69">
        <f>((H94*(1-'5.Closing Stock &amp; W Capital'!$D$15))+(G94*'5.Closing Stock &amp; W Capital'!$D$15))*$C$152*I$124</f>
        <v>0</v>
      </c>
      <c r="J162" s="69">
        <f>((I94*(1-'5.Closing Stock &amp; W Capital'!$D$15))+(H94*'5.Closing Stock &amp; W Capital'!$D$15))*$C$152*J$124</f>
        <v>0</v>
      </c>
      <c r="K162" s="67"/>
      <c r="U162" s="67"/>
      <c r="V162" s="67"/>
      <c r="W162" s="67"/>
    </row>
    <row r="163" spans="1:23">
      <c r="A163" s="68">
        <f t="shared" si="53"/>
        <v>0</v>
      </c>
      <c r="B163" s="68"/>
      <c r="C163" s="184"/>
      <c r="D163" s="69">
        <f>(C95*(1-'5.Closing Stock &amp; W Capital'!$D$15))*$C163*D$124</f>
        <v>0</v>
      </c>
      <c r="E163" s="69">
        <f>((D95*(1-'5.Closing Stock &amp; W Capital'!$D$15))+(C95*'5.Closing Stock &amp; W Capital'!$D$15))*$C163*E$124</f>
        <v>0</v>
      </c>
      <c r="F163" s="69">
        <f>((E95*(1-'5.Closing Stock &amp; W Capital'!$D$15))+(D95*'5.Closing Stock &amp; W Capital'!$D$15))*$C$152*F$124</f>
        <v>0</v>
      </c>
      <c r="G163" s="69">
        <f>((F95*(1-'5.Closing Stock &amp; W Capital'!$D$15))+(E95*'5.Closing Stock &amp; W Capital'!$D$15))*$C$152*G$124</f>
        <v>0</v>
      </c>
      <c r="H163" s="69">
        <f>((G95*(1-'5.Closing Stock &amp; W Capital'!$D$15))+(F95*'5.Closing Stock &amp; W Capital'!$D$15))*$C$152*H$124</f>
        <v>0</v>
      </c>
      <c r="I163" s="69">
        <f>((H95*(1-'5.Closing Stock &amp; W Capital'!$D$15))+(G95*'5.Closing Stock &amp; W Capital'!$D$15))*$C$152*I$124</f>
        <v>0</v>
      </c>
      <c r="J163" s="69">
        <f>((I95*(1-'5.Closing Stock &amp; W Capital'!$D$15))+(H95*'5.Closing Stock &amp; W Capital'!$D$15))*$C$152*J$124</f>
        <v>0</v>
      </c>
      <c r="K163" s="67"/>
      <c r="U163" s="67"/>
      <c r="V163" s="67"/>
      <c r="W163" s="67"/>
    </row>
    <row r="164" spans="1:23">
      <c r="A164" s="68">
        <f t="shared" si="53"/>
        <v>0</v>
      </c>
      <c r="B164" s="68"/>
      <c r="C164" s="184"/>
      <c r="D164" s="69">
        <f>(C96*(1-'5.Closing Stock &amp; W Capital'!$D$15))*$C164*D$124</f>
        <v>0</v>
      </c>
      <c r="E164" s="69">
        <f>((D96*(1-'5.Closing Stock &amp; W Capital'!$D$15))+(C96*'5.Closing Stock &amp; W Capital'!$D$15))*$C164*E$124</f>
        <v>0</v>
      </c>
      <c r="F164" s="69">
        <f>((E96*(1-'5.Closing Stock &amp; W Capital'!$D$15))+(D96*'5.Closing Stock &amp; W Capital'!$D$15))*$C$152*F$124</f>
        <v>0</v>
      </c>
      <c r="G164" s="69">
        <f>((F96*(1-'5.Closing Stock &amp; W Capital'!$D$15))+(E96*'5.Closing Stock &amp; W Capital'!$D$15))*$C$152*G$124</f>
        <v>0</v>
      </c>
      <c r="H164" s="69">
        <f>((G96*(1-'5.Closing Stock &amp; W Capital'!$D$15))+(F96*'5.Closing Stock &amp; W Capital'!$D$15))*$C$152*H$124</f>
        <v>0</v>
      </c>
      <c r="I164" s="69">
        <f>((H96*(1-'5.Closing Stock &amp; W Capital'!$D$15))+(G96*'5.Closing Stock &amp; W Capital'!$D$15))*$C$152*I$124</f>
        <v>0</v>
      </c>
      <c r="J164" s="69">
        <f>((I96*(1-'5.Closing Stock &amp; W Capital'!$D$15))+(H96*'5.Closing Stock &amp; W Capital'!$D$15))*$C$152*J$124</f>
        <v>0</v>
      </c>
      <c r="K164" s="67"/>
      <c r="U164" s="67"/>
      <c r="V164" s="67"/>
      <c r="W164" s="67"/>
    </row>
    <row r="165" spans="1:23">
      <c r="A165" s="68">
        <f t="shared" si="53"/>
        <v>0</v>
      </c>
      <c r="B165" s="68"/>
      <c r="C165" s="184"/>
      <c r="D165" s="69">
        <f>(C97*(1-'5.Closing Stock &amp; W Capital'!$D$15))*$C165*D$124</f>
        <v>0</v>
      </c>
      <c r="E165" s="69">
        <f>((D97*(1-'5.Closing Stock &amp; W Capital'!$D$15))+(C97*'5.Closing Stock &amp; W Capital'!$D$15))*$C165*E$124</f>
        <v>0</v>
      </c>
      <c r="F165" s="69">
        <f>((E97*(1-'5.Closing Stock &amp; W Capital'!$D$15))+(D97*'5.Closing Stock &amp; W Capital'!$D$15))*$C$152*F$124</f>
        <v>0</v>
      </c>
      <c r="G165" s="69">
        <f>((F97*(1-'5.Closing Stock &amp; W Capital'!$D$15))+(E97*'5.Closing Stock &amp; W Capital'!$D$15))*$C$152*G$124</f>
        <v>0</v>
      </c>
      <c r="H165" s="69">
        <f>((G97*(1-'5.Closing Stock &amp; W Capital'!$D$15))+(F97*'5.Closing Stock &amp; W Capital'!$D$15))*$C$152*H$124</f>
        <v>0</v>
      </c>
      <c r="I165" s="69">
        <f>((H97*(1-'5.Closing Stock &amp; W Capital'!$D$15))+(G97*'5.Closing Stock &amp; W Capital'!$D$15))*$C$152*I$124</f>
        <v>0</v>
      </c>
      <c r="J165" s="69">
        <f>((I97*(1-'5.Closing Stock &amp; W Capital'!$D$15))+(H97*'5.Closing Stock &amp; W Capital'!$D$15))*$C$152*J$124</f>
        <v>0</v>
      </c>
      <c r="K165" s="67"/>
      <c r="U165" s="67"/>
      <c r="V165" s="67"/>
      <c r="W165" s="67"/>
    </row>
    <row r="166" spans="1:23">
      <c r="A166" s="68">
        <f t="shared" si="53"/>
        <v>0</v>
      </c>
      <c r="B166" s="68"/>
      <c r="C166" s="184"/>
      <c r="D166" s="69">
        <f>(C98*(1-'5.Closing Stock &amp; W Capital'!$D$15))*$C166*D$124</f>
        <v>0</v>
      </c>
      <c r="E166" s="69">
        <f>((D98*(1-'5.Closing Stock &amp; W Capital'!$D$15))+(C98*'5.Closing Stock &amp; W Capital'!$D$15))*$C166*E$124</f>
        <v>0</v>
      </c>
      <c r="F166" s="69">
        <f>((E98*(1-'5.Closing Stock &amp; W Capital'!$D$15))+(D98*'5.Closing Stock &amp; W Capital'!$D$15))*$C$152*F$124</f>
        <v>0</v>
      </c>
      <c r="G166" s="69">
        <f>((F98*(1-'5.Closing Stock &amp; W Capital'!$D$15))+(E98*'5.Closing Stock &amp; W Capital'!$D$15))*$C$152*G$124</f>
        <v>0</v>
      </c>
      <c r="H166" s="69">
        <f>((G98*(1-'5.Closing Stock &amp; W Capital'!$D$15))+(F98*'5.Closing Stock &amp; W Capital'!$D$15))*$C$152*H$124</f>
        <v>0</v>
      </c>
      <c r="I166" s="69">
        <f>((H98*(1-'5.Closing Stock &amp; W Capital'!$D$15))+(G98*'5.Closing Stock &amp; W Capital'!$D$15))*$C$152*I$124</f>
        <v>0</v>
      </c>
      <c r="J166" s="69">
        <f>((I98*(1-'5.Closing Stock &amp; W Capital'!$D$15))+(H98*'5.Closing Stock &amp; W Capital'!$D$15))*$C$152*J$124</f>
        <v>0</v>
      </c>
      <c r="K166" s="67"/>
      <c r="U166" s="67"/>
      <c r="V166" s="67"/>
      <c r="W166" s="67"/>
    </row>
    <row r="167" spans="1:23">
      <c r="A167" s="68">
        <f t="shared" si="53"/>
        <v>0</v>
      </c>
      <c r="B167" s="68"/>
      <c r="C167" s="184"/>
      <c r="D167" s="69">
        <f>(C99*(1-'5.Closing Stock &amp; W Capital'!$D$15))*$C167*D$124</f>
        <v>0</v>
      </c>
      <c r="E167" s="69">
        <f>((D99*(1-'5.Closing Stock &amp; W Capital'!$D$15))+(C99*'5.Closing Stock &amp; W Capital'!$D$15))*$C167*E$124</f>
        <v>0</v>
      </c>
      <c r="F167" s="69">
        <f>((E99*(1-'5.Closing Stock &amp; W Capital'!$D$15))+(D99*'5.Closing Stock &amp; W Capital'!$D$15))*$C$152*F$124</f>
        <v>0</v>
      </c>
      <c r="G167" s="69">
        <f>((F99*(1-'5.Closing Stock &amp; W Capital'!$D$15))+(E99*'5.Closing Stock &amp; W Capital'!$D$15))*$C$152*G$124</f>
        <v>0</v>
      </c>
      <c r="H167" s="69">
        <f>((G99*(1-'5.Closing Stock &amp; W Capital'!$D$15))+(F99*'5.Closing Stock &amp; W Capital'!$D$15))*$C$152*H$124</f>
        <v>0</v>
      </c>
      <c r="I167" s="69">
        <f>((H99*(1-'5.Closing Stock &amp; W Capital'!$D$15))+(G99*'5.Closing Stock &amp; W Capital'!$D$15))*$C$152*I$124</f>
        <v>0</v>
      </c>
      <c r="J167" s="69">
        <f>((I99*(1-'5.Closing Stock &amp; W Capital'!$D$15))+(H99*'5.Closing Stock &amp; W Capital'!$D$15))*$C$152*J$124</f>
        <v>0</v>
      </c>
      <c r="K167" s="67"/>
      <c r="U167" s="67"/>
      <c r="V167" s="67"/>
      <c r="W167" s="67"/>
    </row>
    <row r="168" spans="1:23">
      <c r="A168" s="68">
        <f t="shared" si="53"/>
        <v>0</v>
      </c>
      <c r="B168" s="68"/>
      <c r="C168" s="184"/>
      <c r="D168" s="69">
        <f>(C100*(1-'5.Closing Stock &amp; W Capital'!$D$15))*$C168*D$124</f>
        <v>0</v>
      </c>
      <c r="E168" s="69">
        <f>((D100*(1-'5.Closing Stock &amp; W Capital'!$D$15))+(C100*'5.Closing Stock &amp; W Capital'!$D$15))*$C168*E$124</f>
        <v>0</v>
      </c>
      <c r="F168" s="69">
        <f>((E100*(1-'5.Closing Stock &amp; W Capital'!$D$15))+(D100*'5.Closing Stock &amp; W Capital'!$D$15))*$C$152*F$124</f>
        <v>0</v>
      </c>
      <c r="G168" s="69">
        <f>((F100*(1-'5.Closing Stock &amp; W Capital'!$D$15))+(E100*'5.Closing Stock &amp; W Capital'!$D$15))*$C$152*G$124</f>
        <v>0</v>
      </c>
      <c r="H168" s="69">
        <f>((G100*(1-'5.Closing Stock &amp; W Capital'!$D$15))+(F100*'5.Closing Stock &amp; W Capital'!$D$15))*$C$152*H$124</f>
        <v>0</v>
      </c>
      <c r="I168" s="69">
        <f>((H100*(1-'5.Closing Stock &amp; W Capital'!$D$15))+(G100*'5.Closing Stock &amp; W Capital'!$D$15))*$C$152*I$124</f>
        <v>0</v>
      </c>
      <c r="J168" s="69">
        <f>((I100*(1-'5.Closing Stock &amp; W Capital'!$D$15))+(H100*'5.Closing Stock &amp; W Capital'!$D$15))*$C$152*J$124</f>
        <v>0</v>
      </c>
      <c r="K168" s="67"/>
      <c r="U168" s="67"/>
      <c r="V168" s="67"/>
      <c r="W168" s="67"/>
    </row>
    <row r="169" spans="1:23">
      <c r="A169" s="68">
        <f t="shared" si="53"/>
        <v>0</v>
      </c>
      <c r="B169" s="68"/>
      <c r="C169" s="184"/>
      <c r="D169" s="69">
        <f>(C101*(1-'5.Closing Stock &amp; W Capital'!$D$15))*$C169*D$124</f>
        <v>0</v>
      </c>
      <c r="E169" s="69">
        <f>((D101*(1-'5.Closing Stock &amp; W Capital'!$D$15))+(C101*'5.Closing Stock &amp; W Capital'!$D$15))*$C169*E$124</f>
        <v>0</v>
      </c>
      <c r="F169" s="69">
        <f>((E101*(1-'5.Closing Stock &amp; W Capital'!$D$15))+(D101*'5.Closing Stock &amp; W Capital'!$D$15))*$C$152*F$124</f>
        <v>0</v>
      </c>
      <c r="G169" s="69">
        <f>((F101*(1-'5.Closing Stock &amp; W Capital'!$D$15))+(E101*'5.Closing Stock &amp; W Capital'!$D$15))*$C$152*G$124</f>
        <v>0</v>
      </c>
      <c r="H169" s="69">
        <f>((G101*(1-'5.Closing Stock &amp; W Capital'!$D$15))+(F101*'5.Closing Stock &amp; W Capital'!$D$15))*$C$152*H$124</f>
        <v>0</v>
      </c>
      <c r="I169" s="69">
        <f>((H101*(1-'5.Closing Stock &amp; W Capital'!$D$15))+(G101*'5.Closing Stock &amp; W Capital'!$D$15))*$C$152*I$124</f>
        <v>0</v>
      </c>
      <c r="J169" s="69">
        <f>((I101*(1-'5.Closing Stock &amp; W Capital'!$D$15))+(H101*'5.Closing Stock &amp; W Capital'!$D$15))*$C$152*J$124</f>
        <v>0</v>
      </c>
      <c r="K169" s="67"/>
      <c r="U169" s="67"/>
      <c r="V169" s="67"/>
      <c r="W169" s="67"/>
    </row>
    <row r="170" spans="1:23">
      <c r="A170" s="68">
        <f t="shared" si="53"/>
        <v>0</v>
      </c>
      <c r="B170" s="68"/>
      <c r="C170" s="184"/>
      <c r="D170" s="69">
        <f>(C102*(1-'5.Closing Stock &amp; W Capital'!$D$15))*$C170*D$124</f>
        <v>0</v>
      </c>
      <c r="E170" s="69">
        <f>((D102*(1-'5.Closing Stock &amp; W Capital'!$D$15))+(C102*'5.Closing Stock &amp; W Capital'!$D$15))*$C170*E$124</f>
        <v>0</v>
      </c>
      <c r="F170" s="69">
        <f>((E102*(1-'5.Closing Stock &amp; W Capital'!$D$15))+(D102*'5.Closing Stock &amp; W Capital'!$D$15))*$C$152*F$124</f>
        <v>0</v>
      </c>
      <c r="G170" s="69">
        <f>((F102*(1-'5.Closing Stock &amp; W Capital'!$D$15))+(E102*'5.Closing Stock &amp; W Capital'!$D$15))*$C$152*G$124</f>
        <v>0</v>
      </c>
      <c r="H170" s="69">
        <f>((G102*(1-'5.Closing Stock &amp; W Capital'!$D$15))+(F102*'5.Closing Stock &amp; W Capital'!$D$15))*$C$152*H$124</f>
        <v>0</v>
      </c>
      <c r="I170" s="69">
        <f>((H102*(1-'5.Closing Stock &amp; W Capital'!$D$15))+(G102*'5.Closing Stock &amp; W Capital'!$D$15))*$C$152*I$124</f>
        <v>0</v>
      </c>
      <c r="J170" s="69">
        <f>((I102*(1-'5.Closing Stock &amp; W Capital'!$D$15))+(H102*'5.Closing Stock &amp; W Capital'!$D$15))*$C$152*J$124</f>
        <v>0</v>
      </c>
      <c r="K170" s="67"/>
      <c r="U170" s="67"/>
      <c r="V170" s="67"/>
      <c r="W170" s="67"/>
    </row>
    <row r="171" spans="1:23">
      <c r="A171" s="68">
        <f t="shared" si="53"/>
        <v>0</v>
      </c>
      <c r="B171" s="68"/>
      <c r="C171" s="184"/>
      <c r="D171" s="69">
        <f>(C103*(1-'5.Closing Stock &amp; W Capital'!$D$15))*$C171*D$124</f>
        <v>0</v>
      </c>
      <c r="E171" s="69">
        <f>((D103*(1-'5.Closing Stock &amp; W Capital'!$D$15))+(C103*'5.Closing Stock &amp; W Capital'!$D$15))*$C171*E$124</f>
        <v>0</v>
      </c>
      <c r="F171" s="69">
        <f>((E103*(1-'5.Closing Stock &amp; W Capital'!$D$15))+(D103*'5.Closing Stock &amp; W Capital'!$D$15))*$C$152*F$124</f>
        <v>0</v>
      </c>
      <c r="G171" s="69">
        <f>((F103*(1-'5.Closing Stock &amp; W Capital'!$D$15))+(E103*'5.Closing Stock &amp; W Capital'!$D$15))*$C$152*G$124</f>
        <v>0</v>
      </c>
      <c r="H171" s="69">
        <f>((G103*(1-'5.Closing Stock &amp; W Capital'!$D$15))+(F103*'5.Closing Stock &amp; W Capital'!$D$15))*$C$152*H$124</f>
        <v>0</v>
      </c>
      <c r="I171" s="69">
        <f>((H103*(1-'5.Closing Stock &amp; W Capital'!$D$15))+(G103*'5.Closing Stock &amp; W Capital'!$D$15))*$C$152*I$124</f>
        <v>0</v>
      </c>
      <c r="J171" s="69">
        <f>((I103*(1-'5.Closing Stock &amp; W Capital'!$D$15))+(H103*'5.Closing Stock &amp; W Capital'!$D$15))*$C$152*J$124</f>
        <v>0</v>
      </c>
      <c r="K171" s="67"/>
      <c r="U171" s="67"/>
      <c r="V171" s="67"/>
      <c r="W171" s="67"/>
    </row>
    <row r="172" spans="1:23">
      <c r="A172" s="68">
        <f t="shared" si="53"/>
        <v>0</v>
      </c>
      <c r="B172" s="68"/>
      <c r="C172" s="184"/>
      <c r="D172" s="69">
        <f>(C104*(1-'5.Closing Stock &amp; W Capital'!$D$15))*$C172*D$124</f>
        <v>0</v>
      </c>
      <c r="E172" s="69">
        <f>((D104*(1-'5.Closing Stock &amp; W Capital'!$D$15))+(C104*'5.Closing Stock &amp; W Capital'!$D$15))*$C172*E$124</f>
        <v>0</v>
      </c>
      <c r="F172" s="69">
        <f>((E104*(1-'5.Closing Stock &amp; W Capital'!$D$15))+(D104*'5.Closing Stock &amp; W Capital'!$D$15))*$C$152*F$124</f>
        <v>0</v>
      </c>
      <c r="G172" s="69">
        <f>((F104*(1-'5.Closing Stock &amp; W Capital'!$D$15))+(E104*'5.Closing Stock &amp; W Capital'!$D$15))*$C$152*G$124</f>
        <v>0</v>
      </c>
      <c r="H172" s="69">
        <f>((G104*(1-'5.Closing Stock &amp; W Capital'!$D$15))+(F104*'5.Closing Stock &amp; W Capital'!$D$15))*$C$152*H$124</f>
        <v>0</v>
      </c>
      <c r="I172" s="69">
        <f>((H104*(1-'5.Closing Stock &amp; W Capital'!$D$15))+(G104*'5.Closing Stock &amp; W Capital'!$D$15))*$C$152*I$124</f>
        <v>0</v>
      </c>
      <c r="J172" s="69">
        <f>((I104*(1-'5.Closing Stock &amp; W Capital'!$D$15))+(H104*'5.Closing Stock &amp; W Capital'!$D$15))*$C$152*J$124</f>
        <v>0</v>
      </c>
      <c r="K172" s="67"/>
      <c r="U172" s="67"/>
      <c r="V172" s="67"/>
      <c r="W172" s="67"/>
    </row>
    <row r="173" spans="1:23">
      <c r="A173" s="68">
        <f t="shared" si="53"/>
        <v>0</v>
      </c>
      <c r="B173" s="68"/>
      <c r="C173" s="184"/>
      <c r="D173" s="69">
        <f>(C105*(1-'5.Closing Stock &amp; W Capital'!$D$15))*$C173*D$124</f>
        <v>0</v>
      </c>
      <c r="E173" s="69">
        <f>((D105*(1-'5.Closing Stock &amp; W Capital'!$D$15))+(C105*'5.Closing Stock &amp; W Capital'!$D$15))*$C173*E$124</f>
        <v>0</v>
      </c>
      <c r="F173" s="69">
        <f>((E105*(1-'5.Closing Stock &amp; W Capital'!$D$15))+(D105*'5.Closing Stock &amp; W Capital'!$D$15))*$C$152*F$124</f>
        <v>0</v>
      </c>
      <c r="G173" s="69">
        <f>((F105*(1-'5.Closing Stock &amp; W Capital'!$D$15))+(E105*'5.Closing Stock &amp; W Capital'!$D$15))*$C$152*G$124</f>
        <v>0</v>
      </c>
      <c r="H173" s="69">
        <f>((G105*(1-'5.Closing Stock &amp; W Capital'!$D$15))+(F105*'5.Closing Stock &amp; W Capital'!$D$15))*$C$152*H$124</f>
        <v>0</v>
      </c>
      <c r="I173" s="69">
        <f>((H105*(1-'5.Closing Stock &amp; W Capital'!$D$15))+(G105*'5.Closing Stock &amp; W Capital'!$D$15))*$C$152*I$124</f>
        <v>0</v>
      </c>
      <c r="J173" s="69">
        <f>((I105*(1-'5.Closing Stock &amp; W Capital'!$D$15))+(H105*'5.Closing Stock &amp; W Capital'!$D$15))*$C$152*J$124</f>
        <v>0</v>
      </c>
      <c r="K173" s="67"/>
      <c r="U173" s="67"/>
      <c r="V173" s="67"/>
      <c r="W173" s="67"/>
    </row>
    <row r="174" spans="1:23">
      <c r="A174" s="68">
        <f t="shared" si="53"/>
        <v>0</v>
      </c>
      <c r="B174" s="68"/>
      <c r="C174" s="184"/>
      <c r="D174" s="69">
        <f>(C106*(1-'5.Closing Stock &amp; W Capital'!$D$15))*$C174*D$124</f>
        <v>0</v>
      </c>
      <c r="E174" s="69">
        <f>((D106*(1-'5.Closing Stock &amp; W Capital'!$D$15))+(C106*'5.Closing Stock &amp; W Capital'!$D$15))*$C174*E$124</f>
        <v>0</v>
      </c>
      <c r="F174" s="69">
        <f>((E106*(1-'5.Closing Stock &amp; W Capital'!$D$15))+(D106*'5.Closing Stock &amp; W Capital'!$D$15))*$C$152*F$124</f>
        <v>0</v>
      </c>
      <c r="G174" s="69">
        <f>((F106*(1-'5.Closing Stock &amp; W Capital'!$D$15))+(E106*'5.Closing Stock &amp; W Capital'!$D$15))*$C$152*G$124</f>
        <v>0</v>
      </c>
      <c r="H174" s="69">
        <f>((G106*(1-'5.Closing Stock &amp; W Capital'!$D$15))+(F106*'5.Closing Stock &amp; W Capital'!$D$15))*$C$152*H$124</f>
        <v>0</v>
      </c>
      <c r="I174" s="69">
        <f>((H106*(1-'5.Closing Stock &amp; W Capital'!$D$15))+(G106*'5.Closing Stock &amp; W Capital'!$D$15))*$C$152*I$124</f>
        <v>0</v>
      </c>
      <c r="J174" s="69">
        <f>((I106*(1-'5.Closing Stock &amp; W Capital'!$D$15))+(H106*'5.Closing Stock &amp; W Capital'!$D$15))*$C$152*J$124</f>
        <v>0</v>
      </c>
      <c r="K174" s="67"/>
      <c r="U174" s="67"/>
      <c r="V174" s="67"/>
      <c r="W174" s="67"/>
    </row>
    <row r="175" spans="1:23">
      <c r="A175" s="68">
        <f t="shared" si="53"/>
        <v>0</v>
      </c>
      <c r="B175" s="68"/>
      <c r="C175" s="184"/>
      <c r="D175" s="69">
        <f>(C107*(1-'5.Closing Stock &amp; W Capital'!$D$15))*$C175*D$124</f>
        <v>0</v>
      </c>
      <c r="E175" s="69">
        <f>((D107*(1-'5.Closing Stock &amp; W Capital'!$D$15))+(C107*'5.Closing Stock &amp; W Capital'!$D$15))*$C175*E$124</f>
        <v>0</v>
      </c>
      <c r="F175" s="69">
        <f>((E107*(1-'5.Closing Stock &amp; W Capital'!$D$15))+(D107*'5.Closing Stock &amp; W Capital'!$D$15))*$C$152*F$124</f>
        <v>0</v>
      </c>
      <c r="G175" s="69">
        <f>((F107*(1-'5.Closing Stock &amp; W Capital'!$D$15))+(E107*'5.Closing Stock &amp; W Capital'!$D$15))*$C$152*G$124</f>
        <v>0</v>
      </c>
      <c r="H175" s="69">
        <f>((G107*(1-'5.Closing Stock &amp; W Capital'!$D$15))+(F107*'5.Closing Stock &amp; W Capital'!$D$15))*$C$152*H$124</f>
        <v>0</v>
      </c>
      <c r="I175" s="69">
        <f>((H107*(1-'5.Closing Stock &amp; W Capital'!$D$15))+(G107*'5.Closing Stock &amp; W Capital'!$D$15))*$C$152*I$124</f>
        <v>0</v>
      </c>
      <c r="J175" s="69">
        <f>((I107*(1-'5.Closing Stock &amp; W Capital'!$D$15))+(H107*'5.Closing Stock &amp; W Capital'!$D$15))*$C$152*J$124</f>
        <v>0</v>
      </c>
      <c r="K175" s="67"/>
      <c r="U175" s="67"/>
      <c r="V175" s="67"/>
      <c r="W175" s="67"/>
    </row>
    <row r="176" spans="1:23">
      <c r="A176" s="68">
        <f t="shared" si="53"/>
        <v>0</v>
      </c>
      <c r="B176" s="68"/>
      <c r="C176" s="184"/>
      <c r="D176" s="69">
        <f>(C108*(1-'5.Closing Stock &amp; W Capital'!$D$15))*$C176*D$124</f>
        <v>0</v>
      </c>
      <c r="E176" s="69">
        <f>((D108*(1-'5.Closing Stock &amp; W Capital'!$D$15))+(C108*'5.Closing Stock &amp; W Capital'!$D$15))*$C176*E$124</f>
        <v>0</v>
      </c>
      <c r="F176" s="69">
        <f>((E108*(1-'5.Closing Stock &amp; W Capital'!$D$15))+(D108*'5.Closing Stock &amp; W Capital'!$D$15))*$C$152*F$124</f>
        <v>0</v>
      </c>
      <c r="G176" s="69">
        <f>((F108*(1-'5.Closing Stock &amp; W Capital'!$D$15))+(E108*'5.Closing Stock &amp; W Capital'!$D$15))*$C$152*G$124</f>
        <v>0</v>
      </c>
      <c r="H176" s="69">
        <f>((G108*(1-'5.Closing Stock &amp; W Capital'!$D$15))+(F108*'5.Closing Stock &amp; W Capital'!$D$15))*$C$152*H$124</f>
        <v>0</v>
      </c>
      <c r="I176" s="69">
        <f>((H108*(1-'5.Closing Stock &amp; W Capital'!$D$15))+(G108*'5.Closing Stock &amp; W Capital'!$D$15))*$C$152*I$124</f>
        <v>0</v>
      </c>
      <c r="J176" s="69">
        <f>((I108*(1-'5.Closing Stock &amp; W Capital'!$D$15))+(H108*'5.Closing Stock &amp; W Capital'!$D$15))*$C$152*J$124</f>
        <v>0</v>
      </c>
      <c r="K176" s="67"/>
      <c r="U176" s="67"/>
      <c r="V176" s="67"/>
      <c r="W176" s="67"/>
    </row>
    <row r="177" spans="1:23">
      <c r="A177" s="68">
        <f t="shared" si="53"/>
        <v>0</v>
      </c>
      <c r="B177" s="68"/>
      <c r="C177" s="184"/>
      <c r="D177" s="69">
        <f>(C109*(1-'5.Closing Stock &amp; W Capital'!$D$15))*$C177*D$124</f>
        <v>0</v>
      </c>
      <c r="E177" s="69">
        <f>((D109*(1-'5.Closing Stock &amp; W Capital'!$D$15))+(C109*'5.Closing Stock &amp; W Capital'!$D$15))*$C177*E$124</f>
        <v>0</v>
      </c>
      <c r="F177" s="69">
        <f>((E109*(1-'5.Closing Stock &amp; W Capital'!$D$15))+(D109*'5.Closing Stock &amp; W Capital'!$D$15))*$C$152*F$124</f>
        <v>0</v>
      </c>
      <c r="G177" s="69">
        <f>((F109*(1-'5.Closing Stock &amp; W Capital'!$D$15))+(E109*'5.Closing Stock &amp; W Capital'!$D$15))*$C$152*G$124</f>
        <v>0</v>
      </c>
      <c r="H177" s="69">
        <f>((G109*(1-'5.Closing Stock &amp; W Capital'!$D$15))+(F109*'5.Closing Stock &amp; W Capital'!$D$15))*$C$152*H$124</f>
        <v>0</v>
      </c>
      <c r="I177" s="69">
        <f>((H109*(1-'5.Closing Stock &amp; W Capital'!$D$15))+(G109*'5.Closing Stock &amp; W Capital'!$D$15))*$C$152*I$124</f>
        <v>0</v>
      </c>
      <c r="J177" s="69">
        <f>((I109*(1-'5.Closing Stock &amp; W Capital'!$D$15))+(H109*'5.Closing Stock &amp; W Capital'!$D$15))*$C$152*J$124</f>
        <v>0</v>
      </c>
      <c r="K177" s="67"/>
      <c r="U177" s="67"/>
      <c r="V177" s="67"/>
      <c r="W177" s="67"/>
    </row>
    <row r="178" spans="1:23">
      <c r="A178" s="68">
        <f t="shared" si="53"/>
        <v>0</v>
      </c>
      <c r="B178" s="68"/>
      <c r="C178" s="184"/>
      <c r="D178" s="69">
        <f>(C110*(1-'5.Closing Stock &amp; W Capital'!$D$15))*$C178*D$124</f>
        <v>0</v>
      </c>
      <c r="E178" s="69">
        <f>((D110*(1-'5.Closing Stock &amp; W Capital'!$D$15))+(C110*'5.Closing Stock &amp; W Capital'!$D$15))*$C178*E$124</f>
        <v>0</v>
      </c>
      <c r="F178" s="69">
        <f>((E110*(1-'5.Closing Stock &amp; W Capital'!$D$15))+(D110*'5.Closing Stock &amp; W Capital'!$D$15))*$C$152*F$124</f>
        <v>0</v>
      </c>
      <c r="G178" s="69">
        <f>((F110*(1-'5.Closing Stock &amp; W Capital'!$D$15))+(E110*'5.Closing Stock &amp; W Capital'!$D$15))*$C$152*G$124</f>
        <v>0</v>
      </c>
      <c r="H178" s="69">
        <f>((G110*(1-'5.Closing Stock &amp; W Capital'!$D$15))+(F110*'5.Closing Stock &amp; W Capital'!$D$15))*$C$152*H$124</f>
        <v>0</v>
      </c>
      <c r="I178" s="69">
        <f>((H110*(1-'5.Closing Stock &amp; W Capital'!$D$15))+(G110*'5.Closing Stock &amp; W Capital'!$D$15))*$C$152*I$124</f>
        <v>0</v>
      </c>
      <c r="J178" s="69">
        <f>((I110*(1-'5.Closing Stock &amp; W Capital'!$D$15))+(H110*'5.Closing Stock &amp; W Capital'!$D$15))*$C$152*J$124</f>
        <v>0</v>
      </c>
      <c r="K178" s="67"/>
      <c r="U178" s="67"/>
      <c r="V178" s="67"/>
      <c r="W178" s="67"/>
    </row>
    <row r="179" spans="1:23">
      <c r="A179" s="68">
        <f t="shared" si="53"/>
        <v>0</v>
      </c>
      <c r="B179" s="68"/>
      <c r="C179" s="184"/>
      <c r="D179" s="69"/>
      <c r="E179" s="69"/>
      <c r="F179" s="69"/>
      <c r="G179" s="69"/>
      <c r="H179" s="69"/>
      <c r="I179" s="69"/>
      <c r="J179" s="69"/>
      <c r="K179" s="67"/>
      <c r="U179" s="67"/>
      <c r="V179" s="67"/>
      <c r="W179" s="67"/>
    </row>
    <row r="180" spans="1:23">
      <c r="A180" s="68"/>
      <c r="B180" s="68"/>
      <c r="C180" s="69"/>
      <c r="D180" s="69"/>
      <c r="E180" s="69"/>
      <c r="F180" s="69"/>
      <c r="G180" s="69"/>
      <c r="H180" s="69"/>
      <c r="I180" s="69"/>
      <c r="J180" s="69"/>
      <c r="K180" s="67"/>
      <c r="U180" s="67"/>
      <c r="V180" s="67"/>
      <c r="W180" s="67"/>
    </row>
    <row r="181" spans="1:23">
      <c r="A181" s="68" t="s">
        <v>287</v>
      </c>
      <c r="B181" s="68"/>
      <c r="C181" s="69"/>
      <c r="D181" s="69"/>
      <c r="E181" s="69"/>
      <c r="F181" s="69"/>
      <c r="G181" s="69"/>
      <c r="H181" s="69"/>
      <c r="I181" s="69"/>
      <c r="J181" s="69"/>
      <c r="K181" s="67"/>
      <c r="U181" s="67"/>
      <c r="V181" s="67"/>
      <c r="W181" s="67"/>
    </row>
    <row r="182" spans="1:23">
      <c r="A182" s="68" t="s">
        <v>400</v>
      </c>
      <c r="B182" s="68"/>
      <c r="C182" s="184">
        <f>350/50</f>
        <v>7</v>
      </c>
      <c r="D182" s="69">
        <f>(C114*(1-'5.Closing Stock &amp; W Capital'!$D$15))*$C$182*D124</f>
        <v>0</v>
      </c>
      <c r="E182" s="69">
        <f>((D114*(1-'5.Closing Stock &amp; W Capital'!$D$15))+(C114*'5.Closing Stock &amp; W Capital'!$D$15))*$C$182*E124</f>
        <v>0</v>
      </c>
      <c r="F182" s="69">
        <f>((E114*(1-'5.Closing Stock &amp; W Capital'!$D$15))+(D114*'5.Closing Stock &amp; W Capital'!$D$15))*$C$182*F124</f>
        <v>0</v>
      </c>
      <c r="G182" s="69">
        <f>((F114*(1-'5.Closing Stock &amp; W Capital'!$D$15))+(E114*'5.Closing Stock &amp; W Capital'!$D$15))*$C$182*G124</f>
        <v>0</v>
      </c>
      <c r="H182" s="69">
        <f>((G114*(1-'5.Closing Stock &amp; W Capital'!$D$15))+(F114*'5.Closing Stock &amp; W Capital'!$D$15))*$C$182*H124</f>
        <v>0</v>
      </c>
      <c r="I182" s="69">
        <f>((H114*(1-'5.Closing Stock &amp; W Capital'!$D$15))+(G114*'5.Closing Stock &amp; W Capital'!$D$15))*$C$182*I124</f>
        <v>0</v>
      </c>
      <c r="J182" s="69">
        <f>((I114*(1-'5.Closing Stock &amp; W Capital'!$D$15))+(H114*'5.Closing Stock &amp; W Capital'!$D$15))*$C$182*J124</f>
        <v>0</v>
      </c>
      <c r="K182" s="67"/>
      <c r="U182" s="67"/>
      <c r="V182" s="67"/>
      <c r="W182" s="67"/>
    </row>
    <row r="183" spans="1:23">
      <c r="A183" s="68" t="s">
        <v>179</v>
      </c>
      <c r="B183" s="68"/>
      <c r="C183" s="184">
        <v>8</v>
      </c>
      <c r="D183" s="69">
        <f>(C115*(1-'5.Closing Stock &amp; W Capital'!$D$15))*$C$183*D124</f>
        <v>0</v>
      </c>
      <c r="E183" s="69">
        <f>((D115*(1-'5.Closing Stock &amp; W Capital'!$D$15))+(C115*'5.Closing Stock &amp; W Capital'!$D$15))*$C$183*E124</f>
        <v>0</v>
      </c>
      <c r="F183" s="69">
        <f>((E115*(1-'5.Closing Stock &amp; W Capital'!$D$15))+(D115*'5.Closing Stock &amp; W Capital'!$D$15))*$C$183*F124</f>
        <v>0</v>
      </c>
      <c r="G183" s="69">
        <f>((F115*(1-'5.Closing Stock &amp; W Capital'!$D$15))+(E115*'5.Closing Stock &amp; W Capital'!$D$15))*$C$183*G124</f>
        <v>0</v>
      </c>
      <c r="H183" s="69">
        <f>((G115*(1-'5.Closing Stock &amp; W Capital'!$D$15))+(F115*'5.Closing Stock &amp; W Capital'!$D$15))*$C$183*H124</f>
        <v>0</v>
      </c>
      <c r="I183" s="69">
        <f>((H115*(1-'5.Closing Stock &amp; W Capital'!$D$15))+(G115*'5.Closing Stock &amp; W Capital'!$D$15))*$C$183*I124</f>
        <v>0</v>
      </c>
      <c r="J183" s="69">
        <f>((I115*(1-'5.Closing Stock &amp; W Capital'!$D$15))+(H115*'5.Closing Stock &amp; W Capital'!$D$15))*$C$183*J124</f>
        <v>0</v>
      </c>
      <c r="K183" s="67"/>
      <c r="U183" s="67"/>
      <c r="V183" s="67"/>
      <c r="W183" s="67"/>
    </row>
    <row r="184" spans="1:23">
      <c r="A184" s="68" t="s">
        <v>181</v>
      </c>
      <c r="B184" s="68"/>
      <c r="C184" s="184">
        <v>30</v>
      </c>
      <c r="D184" s="69">
        <f>(C116*(1-'5.Closing Stock &amp; W Capital'!$D$15))*$C$184*D124</f>
        <v>0</v>
      </c>
      <c r="E184" s="69">
        <f>((D116*(1-'5.Closing Stock &amp; W Capital'!$D$15))+(C116*'5.Closing Stock &amp; W Capital'!$D$15))*$C$184*E124</f>
        <v>0</v>
      </c>
      <c r="F184" s="69">
        <f>((E116*(1-'5.Closing Stock &amp; W Capital'!$D$15))+(D116*'5.Closing Stock &amp; W Capital'!$D$15))*$C$184*F124</f>
        <v>0</v>
      </c>
      <c r="G184" s="69">
        <f>((F116*(1-'5.Closing Stock &amp; W Capital'!$D$15))+(E116*'5.Closing Stock &amp; W Capital'!$D$15))*$C$184*G124</f>
        <v>0</v>
      </c>
      <c r="H184" s="69">
        <f>((G116*(1-'5.Closing Stock &amp; W Capital'!$D$15))+(F116*'5.Closing Stock &amp; W Capital'!$D$15))*$C$184*H124</f>
        <v>0</v>
      </c>
      <c r="I184" s="69">
        <f>((H116*(1-'5.Closing Stock &amp; W Capital'!$D$15))+(G116*'5.Closing Stock &amp; W Capital'!$D$15))*$C$184*I124</f>
        <v>0</v>
      </c>
      <c r="J184" s="69">
        <f>((I116*(1-'5.Closing Stock &amp; W Capital'!$D$15))+(H116*'5.Closing Stock &amp; W Capital'!$D$15))*$C$184*J124</f>
        <v>0</v>
      </c>
      <c r="K184" s="67"/>
      <c r="U184" s="67"/>
      <c r="V184" s="67"/>
      <c r="W184" s="67"/>
    </row>
    <row r="185" spans="1:23">
      <c r="A185" s="68"/>
      <c r="B185" s="68"/>
      <c r="C185" s="69"/>
      <c r="D185" s="69"/>
      <c r="E185" s="69"/>
      <c r="F185" s="69"/>
      <c r="G185" s="69"/>
      <c r="H185" s="69"/>
      <c r="I185" s="69"/>
      <c r="J185" s="69"/>
      <c r="K185" s="67"/>
      <c r="U185" s="67"/>
      <c r="V185" s="67"/>
      <c r="W185" s="67"/>
    </row>
    <row r="186" spans="1:23">
      <c r="A186" s="68" t="s">
        <v>180</v>
      </c>
      <c r="B186" s="68"/>
      <c r="C186" s="69"/>
      <c r="D186" s="69"/>
      <c r="E186" s="69"/>
      <c r="F186" s="69"/>
      <c r="G186" s="69"/>
      <c r="H186" s="69"/>
      <c r="I186" s="69"/>
      <c r="J186" s="69"/>
      <c r="K186" s="67"/>
      <c r="U186" s="67"/>
      <c r="V186" s="67"/>
      <c r="W186" s="67"/>
    </row>
    <row r="187" spans="1:23">
      <c r="A187" s="68" t="s">
        <v>186</v>
      </c>
      <c r="B187" s="68"/>
      <c r="C187" s="184">
        <v>3000</v>
      </c>
      <c r="D187" s="69">
        <f>(C118*(1-'5.Closing Stock &amp; W Capital'!$D$15))*$C$187*D124</f>
        <v>0</v>
      </c>
      <c r="E187" s="69">
        <f>((D118*(1-'5.Closing Stock &amp; W Capital'!$D$15))+(C118*'5.Closing Stock &amp; W Capital'!$D$15))*$C$187*E124</f>
        <v>0</v>
      </c>
      <c r="F187" s="69">
        <f>((E118*(1-'5.Closing Stock &amp; W Capital'!$D$15))+(D118*'5.Closing Stock &amp; W Capital'!$D$15))*$C$187*F124</f>
        <v>0</v>
      </c>
      <c r="G187" s="69">
        <f>((F118*(1-'5.Closing Stock &amp; W Capital'!$D$15))+(E118*'5.Closing Stock &amp; W Capital'!$D$15))*$C$187*G124</f>
        <v>0</v>
      </c>
      <c r="H187" s="69">
        <f>((G118*(1-'5.Closing Stock &amp; W Capital'!$D$15))+(F118*'5.Closing Stock &amp; W Capital'!$D$15))*$C$187*H124</f>
        <v>0</v>
      </c>
      <c r="I187" s="69">
        <f>((H118*(1-'5.Closing Stock &amp; W Capital'!$D$15))+(G118*'5.Closing Stock &amp; W Capital'!$D$15))*$C$187*I124</f>
        <v>0</v>
      </c>
      <c r="J187" s="69">
        <f>((I118*(1-'5.Closing Stock &amp; W Capital'!$D$15))+(H118*'5.Closing Stock &amp; W Capital'!$D$15))*$C$187*J124</f>
        <v>0</v>
      </c>
      <c r="K187" s="67"/>
      <c r="U187" s="159"/>
      <c r="V187" s="159"/>
      <c r="W187" s="159"/>
    </row>
    <row r="188" spans="1:23">
      <c r="A188" s="68" t="s">
        <v>187</v>
      </c>
      <c r="B188" s="68"/>
      <c r="C188" s="184">
        <v>2200</v>
      </c>
      <c r="D188" s="69">
        <f>(C119*(1-'5.Closing Stock &amp; W Capital'!$D$15))*$C$188*D124</f>
        <v>0</v>
      </c>
      <c r="E188" s="69">
        <f>((D119*(1-'5.Closing Stock &amp; W Capital'!$D$15))+(C119*'5.Closing Stock &amp; W Capital'!$D$15))*$C$188*E124</f>
        <v>0</v>
      </c>
      <c r="F188" s="69">
        <f>((E119*(1-'5.Closing Stock &amp; W Capital'!$D$15))+(D119*'5.Closing Stock &amp; W Capital'!$D$15))*$C$188*F124</f>
        <v>0</v>
      </c>
      <c r="G188" s="69">
        <f>((F119*(1-'5.Closing Stock &amp; W Capital'!$D$15))+(E119*'5.Closing Stock &amp; W Capital'!$D$15))*$C$188*G124</f>
        <v>0</v>
      </c>
      <c r="H188" s="69">
        <f>((G119*(1-'5.Closing Stock &amp; W Capital'!$D$15))+(F119*'5.Closing Stock &amp; W Capital'!$D$15))*$C$188*H124</f>
        <v>0</v>
      </c>
      <c r="I188" s="69">
        <f>((H119*(1-'5.Closing Stock &amp; W Capital'!$D$15))+(G119*'5.Closing Stock &amp; W Capital'!$D$15))*$C$188*I124</f>
        <v>0</v>
      </c>
      <c r="J188" s="69">
        <f>((I119*(1-'5.Closing Stock &amp; W Capital'!$D$15))+(H119*'5.Closing Stock &amp; W Capital'!$D$15))*$C$188*J124</f>
        <v>0</v>
      </c>
      <c r="K188" s="67"/>
      <c r="U188" s="67"/>
      <c r="V188" s="67"/>
      <c r="W188" s="67"/>
    </row>
    <row r="189" spans="1:23">
      <c r="A189" s="68"/>
      <c r="B189" s="68"/>
      <c r="C189" s="69"/>
      <c r="D189" s="69"/>
      <c r="E189" s="69"/>
      <c r="F189" s="69"/>
      <c r="G189" s="69"/>
      <c r="H189" s="69"/>
      <c r="I189" s="69"/>
      <c r="J189" s="69"/>
      <c r="K189" s="67"/>
      <c r="U189" s="67"/>
      <c r="V189" s="67"/>
      <c r="W189" s="67"/>
    </row>
    <row r="190" spans="1:23">
      <c r="A190" s="68"/>
      <c r="B190" s="68"/>
      <c r="C190" s="69"/>
      <c r="D190" s="69"/>
      <c r="E190" s="69"/>
      <c r="F190" s="69"/>
      <c r="G190" s="69"/>
      <c r="H190" s="69"/>
      <c r="I190" s="69"/>
      <c r="J190" s="69"/>
      <c r="K190" s="67"/>
      <c r="U190" s="67"/>
      <c r="V190" s="67"/>
      <c r="W190" s="67"/>
    </row>
    <row r="191" spans="1:23">
      <c r="A191" s="70" t="s">
        <v>143</v>
      </c>
      <c r="B191" s="70"/>
      <c r="C191" s="84"/>
      <c r="D191" s="84">
        <f t="shared" ref="D191:J191" si="54">SUM(D130:D188)</f>
        <v>0</v>
      </c>
      <c r="E191" s="84">
        <f t="shared" si="54"/>
        <v>0</v>
      </c>
      <c r="F191" s="84">
        <f t="shared" si="54"/>
        <v>0</v>
      </c>
      <c r="G191" s="84">
        <f t="shared" si="54"/>
        <v>0</v>
      </c>
      <c r="H191" s="84">
        <f t="shared" si="54"/>
        <v>0</v>
      </c>
      <c r="I191" s="84">
        <f t="shared" si="54"/>
        <v>0</v>
      </c>
      <c r="J191" s="84">
        <f t="shared" si="54"/>
        <v>0</v>
      </c>
      <c r="K191" s="67"/>
      <c r="U191" s="67"/>
      <c r="V191" s="67"/>
      <c r="W191" s="67"/>
    </row>
    <row r="192" spans="1:23">
      <c r="A192" s="68"/>
      <c r="B192" s="68"/>
      <c r="C192" s="69"/>
      <c r="D192" s="69"/>
      <c r="E192" s="69"/>
      <c r="F192" s="69"/>
      <c r="G192" s="69"/>
      <c r="H192" s="69"/>
      <c r="I192" s="69"/>
      <c r="J192" s="69"/>
      <c r="K192" s="67"/>
      <c r="U192" s="67"/>
      <c r="V192" s="67"/>
      <c r="W192" s="67"/>
    </row>
    <row r="193" spans="1:23">
      <c r="A193" s="68"/>
      <c r="B193" s="68"/>
      <c r="C193" s="69"/>
      <c r="D193" s="69"/>
      <c r="E193" s="69"/>
      <c r="F193" s="69"/>
      <c r="G193" s="69"/>
      <c r="H193" s="69"/>
      <c r="I193" s="69"/>
      <c r="J193" s="69"/>
      <c r="K193" s="67"/>
      <c r="U193" s="67"/>
      <c r="V193" s="67"/>
      <c r="W193" s="67"/>
    </row>
    <row r="194" spans="1:23">
      <c r="A194" s="70" t="s">
        <v>142</v>
      </c>
      <c r="B194" s="70"/>
      <c r="C194" s="69"/>
      <c r="D194" s="69"/>
      <c r="E194" s="69"/>
      <c r="F194" s="69"/>
      <c r="G194" s="69"/>
      <c r="H194" s="69"/>
      <c r="I194" s="69"/>
      <c r="J194" s="69"/>
      <c r="K194" s="67"/>
      <c r="U194" s="67"/>
      <c r="V194" s="67"/>
      <c r="W194" s="67"/>
    </row>
    <row r="195" spans="1:23">
      <c r="A195" s="70" t="str">
        <f>A128</f>
        <v>Seeds (Rate/KG)</v>
      </c>
      <c r="B195" s="70"/>
      <c r="C195" s="69"/>
      <c r="D195" s="69"/>
      <c r="E195" s="69"/>
      <c r="F195" s="69"/>
      <c r="G195" s="69"/>
      <c r="H195" s="69"/>
      <c r="I195" s="69"/>
      <c r="J195" s="69"/>
      <c r="K195" s="67"/>
      <c r="U195" s="67"/>
      <c r="V195" s="67"/>
      <c r="W195" s="67"/>
    </row>
    <row r="196" spans="1:23">
      <c r="A196" s="67" t="s">
        <v>311</v>
      </c>
      <c r="B196" s="67"/>
      <c r="C196" s="67"/>
      <c r="D196" s="67"/>
      <c r="E196" s="67"/>
      <c r="F196" s="67"/>
      <c r="G196" s="67"/>
      <c r="H196" s="67"/>
      <c r="I196" s="67"/>
      <c r="J196" s="67"/>
      <c r="K196" s="67"/>
      <c r="U196" s="67"/>
      <c r="V196" s="67"/>
      <c r="W196" s="67"/>
    </row>
    <row r="197" spans="1:23">
      <c r="A197" s="68">
        <f t="shared" ref="A197:A238" si="55">A130</f>
        <v>0</v>
      </c>
      <c r="B197" s="67"/>
      <c r="C197" s="184">
        <v>85</v>
      </c>
      <c r="D197" s="69">
        <f t="shared" ref="D197:J206" si="56">C62*$C197*D$124</f>
        <v>0</v>
      </c>
      <c r="E197" s="69">
        <f t="shared" si="56"/>
        <v>0</v>
      </c>
      <c r="F197" s="69">
        <f t="shared" si="56"/>
        <v>0</v>
      </c>
      <c r="G197" s="69">
        <f t="shared" si="56"/>
        <v>0</v>
      </c>
      <c r="H197" s="69">
        <f t="shared" si="56"/>
        <v>0</v>
      </c>
      <c r="I197" s="69">
        <f t="shared" si="56"/>
        <v>0</v>
      </c>
      <c r="J197" s="69">
        <f t="shared" si="56"/>
        <v>0</v>
      </c>
      <c r="K197" s="67"/>
      <c r="U197" s="67"/>
      <c r="V197" s="67"/>
      <c r="W197" s="67"/>
    </row>
    <row r="198" spans="1:23">
      <c r="A198" s="68">
        <f t="shared" si="55"/>
        <v>0</v>
      </c>
      <c r="B198" s="68"/>
      <c r="C198" s="184">
        <v>75</v>
      </c>
      <c r="D198" s="69">
        <f t="shared" si="56"/>
        <v>0</v>
      </c>
      <c r="E198" s="69">
        <f t="shared" si="56"/>
        <v>0</v>
      </c>
      <c r="F198" s="69">
        <f t="shared" si="56"/>
        <v>0</v>
      </c>
      <c r="G198" s="69">
        <f t="shared" si="56"/>
        <v>0</v>
      </c>
      <c r="H198" s="69">
        <f t="shared" si="56"/>
        <v>0</v>
      </c>
      <c r="I198" s="69">
        <f t="shared" si="56"/>
        <v>0</v>
      </c>
      <c r="J198" s="69">
        <f t="shared" si="56"/>
        <v>0</v>
      </c>
      <c r="K198" s="67"/>
      <c r="U198" s="67"/>
      <c r="V198" s="67"/>
      <c r="W198" s="67"/>
    </row>
    <row r="199" spans="1:23">
      <c r="A199" s="68">
        <f t="shared" si="55"/>
        <v>0</v>
      </c>
      <c r="B199" s="68"/>
      <c r="C199" s="184">
        <v>57</v>
      </c>
      <c r="D199" s="69">
        <f t="shared" si="56"/>
        <v>0</v>
      </c>
      <c r="E199" s="69">
        <f t="shared" si="56"/>
        <v>0</v>
      </c>
      <c r="F199" s="69">
        <f t="shared" si="56"/>
        <v>0</v>
      </c>
      <c r="G199" s="69">
        <f t="shared" si="56"/>
        <v>0</v>
      </c>
      <c r="H199" s="69">
        <f t="shared" si="56"/>
        <v>0</v>
      </c>
      <c r="I199" s="69">
        <f t="shared" si="56"/>
        <v>0</v>
      </c>
      <c r="J199" s="69">
        <f t="shared" si="56"/>
        <v>0</v>
      </c>
      <c r="K199" s="67"/>
      <c r="U199" s="67"/>
      <c r="V199" s="67"/>
      <c r="W199" s="67"/>
    </row>
    <row r="200" spans="1:23">
      <c r="A200" s="68">
        <f t="shared" si="55"/>
        <v>0</v>
      </c>
      <c r="B200" s="68"/>
      <c r="C200" s="184">
        <v>80</v>
      </c>
      <c r="D200" s="69">
        <f t="shared" si="56"/>
        <v>0</v>
      </c>
      <c r="E200" s="69">
        <f t="shared" si="56"/>
        <v>0</v>
      </c>
      <c r="F200" s="69">
        <f t="shared" si="56"/>
        <v>0</v>
      </c>
      <c r="G200" s="69">
        <f t="shared" si="56"/>
        <v>0</v>
      </c>
      <c r="H200" s="69">
        <f t="shared" si="56"/>
        <v>0</v>
      </c>
      <c r="I200" s="69">
        <f t="shared" si="56"/>
        <v>0</v>
      </c>
      <c r="J200" s="69">
        <f t="shared" si="56"/>
        <v>0</v>
      </c>
      <c r="K200" s="67"/>
      <c r="L200" s="67"/>
      <c r="M200" s="67"/>
      <c r="N200" s="67"/>
      <c r="O200" s="67"/>
      <c r="P200" s="67"/>
      <c r="Q200" s="67"/>
      <c r="R200" s="67"/>
      <c r="S200" s="67"/>
      <c r="T200" s="67"/>
      <c r="U200" s="67"/>
      <c r="V200" s="67"/>
      <c r="W200" s="67"/>
    </row>
    <row r="201" spans="1:23">
      <c r="A201" s="68">
        <f t="shared" si="55"/>
        <v>0</v>
      </c>
      <c r="B201" s="68"/>
      <c r="C201" s="184">
        <v>25</v>
      </c>
      <c r="D201" s="69">
        <f t="shared" si="56"/>
        <v>0</v>
      </c>
      <c r="E201" s="69">
        <f t="shared" si="56"/>
        <v>0</v>
      </c>
      <c r="F201" s="69">
        <f t="shared" si="56"/>
        <v>0</v>
      </c>
      <c r="G201" s="69">
        <f t="shared" si="56"/>
        <v>0</v>
      </c>
      <c r="H201" s="69">
        <f t="shared" si="56"/>
        <v>0</v>
      </c>
      <c r="I201" s="69">
        <f t="shared" si="56"/>
        <v>0</v>
      </c>
      <c r="J201" s="69">
        <f t="shared" si="56"/>
        <v>0</v>
      </c>
      <c r="K201" s="67"/>
      <c r="L201" s="67"/>
      <c r="M201" s="67"/>
      <c r="N201" s="67"/>
      <c r="O201" s="67"/>
      <c r="P201" s="67"/>
      <c r="Q201" s="67"/>
      <c r="R201" s="67"/>
      <c r="S201" s="67"/>
      <c r="T201" s="67"/>
      <c r="U201" s="67"/>
      <c r="V201" s="67"/>
      <c r="W201" s="67"/>
    </row>
    <row r="202" spans="1:23">
      <c r="A202" s="68">
        <f t="shared" si="55"/>
        <v>0</v>
      </c>
      <c r="B202" s="68"/>
      <c r="C202" s="184">
        <v>70</v>
      </c>
      <c r="D202" s="69">
        <f t="shared" si="56"/>
        <v>0</v>
      </c>
      <c r="E202" s="69">
        <f t="shared" si="56"/>
        <v>0</v>
      </c>
      <c r="F202" s="69">
        <f t="shared" si="56"/>
        <v>0</v>
      </c>
      <c r="G202" s="69">
        <f t="shared" si="56"/>
        <v>0</v>
      </c>
      <c r="H202" s="69">
        <f t="shared" si="56"/>
        <v>0</v>
      </c>
      <c r="I202" s="69">
        <f t="shared" si="56"/>
        <v>0</v>
      </c>
      <c r="J202" s="69">
        <f t="shared" si="56"/>
        <v>0</v>
      </c>
      <c r="K202" s="67"/>
      <c r="L202" s="67"/>
      <c r="M202" s="67"/>
      <c r="N202" s="67"/>
      <c r="O202" s="67"/>
      <c r="P202" s="67"/>
      <c r="Q202" s="67"/>
      <c r="R202" s="67"/>
      <c r="S202" s="67"/>
      <c r="T202" s="67"/>
      <c r="U202" s="67"/>
      <c r="V202" s="67"/>
      <c r="W202" s="67"/>
    </row>
    <row r="203" spans="1:23">
      <c r="A203" s="68">
        <f t="shared" si="55"/>
        <v>0</v>
      </c>
      <c r="B203" s="68"/>
      <c r="C203" s="184">
        <v>25</v>
      </c>
      <c r="D203" s="69">
        <f t="shared" si="56"/>
        <v>0</v>
      </c>
      <c r="E203" s="69">
        <f t="shared" si="56"/>
        <v>0</v>
      </c>
      <c r="F203" s="69">
        <f t="shared" si="56"/>
        <v>0</v>
      </c>
      <c r="G203" s="69">
        <f t="shared" si="56"/>
        <v>0</v>
      </c>
      <c r="H203" s="69">
        <f t="shared" si="56"/>
        <v>0</v>
      </c>
      <c r="I203" s="69">
        <f t="shared" si="56"/>
        <v>0</v>
      </c>
      <c r="J203" s="69">
        <f t="shared" si="56"/>
        <v>0</v>
      </c>
      <c r="K203" s="67"/>
      <c r="L203" s="67"/>
      <c r="M203" s="67"/>
      <c r="N203" s="67"/>
      <c r="O203" s="67"/>
      <c r="P203" s="67"/>
      <c r="Q203" s="67"/>
      <c r="R203" s="67"/>
      <c r="S203" s="67"/>
      <c r="T203" s="67"/>
      <c r="U203" s="67"/>
      <c r="V203" s="67"/>
      <c r="W203" s="67"/>
    </row>
    <row r="204" spans="1:23">
      <c r="A204" s="68">
        <f t="shared" si="55"/>
        <v>0</v>
      </c>
      <c r="B204" s="68"/>
      <c r="C204" s="184">
        <v>25</v>
      </c>
      <c r="D204" s="69">
        <f t="shared" si="56"/>
        <v>0</v>
      </c>
      <c r="E204" s="69">
        <f t="shared" si="56"/>
        <v>0</v>
      </c>
      <c r="F204" s="69">
        <f t="shared" si="56"/>
        <v>0</v>
      </c>
      <c r="G204" s="69">
        <f t="shared" si="56"/>
        <v>0</v>
      </c>
      <c r="H204" s="69">
        <f t="shared" si="56"/>
        <v>0</v>
      </c>
      <c r="I204" s="69">
        <f t="shared" si="56"/>
        <v>0</v>
      </c>
      <c r="J204" s="69">
        <f t="shared" si="56"/>
        <v>0</v>
      </c>
      <c r="K204" s="67"/>
      <c r="L204" s="67"/>
      <c r="M204" s="67"/>
      <c r="N204" s="67"/>
      <c r="O204" s="67"/>
      <c r="P204" s="67"/>
      <c r="Q204" s="67"/>
      <c r="R204" s="67"/>
      <c r="S204" s="67"/>
      <c r="T204" s="67"/>
      <c r="U204" s="67"/>
      <c r="V204" s="67"/>
      <c r="W204" s="67"/>
    </row>
    <row r="205" spans="1:23">
      <c r="A205" s="70" t="str">
        <f t="shared" si="55"/>
        <v>Rabi Crop</v>
      </c>
      <c r="B205" s="68"/>
      <c r="C205" s="184"/>
      <c r="D205" s="69">
        <f t="shared" si="56"/>
        <v>0</v>
      </c>
      <c r="E205" s="69">
        <f t="shared" si="56"/>
        <v>0</v>
      </c>
      <c r="F205" s="69">
        <f t="shared" si="56"/>
        <v>0</v>
      </c>
      <c r="G205" s="69">
        <f t="shared" si="56"/>
        <v>0</v>
      </c>
      <c r="H205" s="69">
        <f t="shared" si="56"/>
        <v>0</v>
      </c>
      <c r="I205" s="69">
        <f t="shared" si="56"/>
        <v>0</v>
      </c>
      <c r="J205" s="69">
        <f t="shared" si="56"/>
        <v>0</v>
      </c>
      <c r="K205" s="67"/>
      <c r="L205" s="67"/>
      <c r="M205" s="67"/>
      <c r="N205" s="67"/>
      <c r="O205" s="67"/>
      <c r="P205" s="67"/>
      <c r="Q205" s="67"/>
      <c r="R205" s="67"/>
      <c r="S205" s="67"/>
      <c r="T205" s="67"/>
      <c r="U205" s="67"/>
      <c r="V205" s="67"/>
      <c r="W205" s="67"/>
    </row>
    <row r="206" spans="1:23">
      <c r="A206" s="68">
        <f t="shared" si="55"/>
        <v>0</v>
      </c>
      <c r="B206" s="68"/>
      <c r="C206" s="184">
        <v>35</v>
      </c>
      <c r="D206" s="69">
        <f t="shared" si="56"/>
        <v>0</v>
      </c>
      <c r="E206" s="69">
        <f t="shared" si="56"/>
        <v>0</v>
      </c>
      <c r="F206" s="69">
        <f t="shared" si="56"/>
        <v>0</v>
      </c>
      <c r="G206" s="69">
        <f t="shared" si="56"/>
        <v>0</v>
      </c>
      <c r="H206" s="69">
        <f t="shared" si="56"/>
        <v>0</v>
      </c>
      <c r="I206" s="69">
        <f t="shared" si="56"/>
        <v>0</v>
      </c>
      <c r="J206" s="69">
        <f t="shared" si="56"/>
        <v>0</v>
      </c>
      <c r="K206" s="67"/>
      <c r="L206" s="67"/>
      <c r="M206" s="67"/>
      <c r="N206" s="67"/>
      <c r="O206" s="67"/>
      <c r="P206" s="67"/>
      <c r="Q206" s="67"/>
      <c r="R206" s="67"/>
      <c r="S206" s="67"/>
      <c r="T206" s="67"/>
      <c r="U206" s="67"/>
      <c r="V206" s="67"/>
      <c r="W206" s="67"/>
    </row>
    <row r="207" spans="1:23">
      <c r="A207" s="68">
        <f t="shared" si="55"/>
        <v>0</v>
      </c>
      <c r="B207" s="68"/>
      <c r="C207" s="184">
        <v>70</v>
      </c>
      <c r="D207" s="69">
        <f t="shared" ref="D207:J216" si="57">C72*$C207*D$124</f>
        <v>0</v>
      </c>
      <c r="E207" s="69">
        <f t="shared" si="57"/>
        <v>0</v>
      </c>
      <c r="F207" s="69">
        <f t="shared" si="57"/>
        <v>0</v>
      </c>
      <c r="G207" s="69">
        <f t="shared" si="57"/>
        <v>0</v>
      </c>
      <c r="H207" s="69">
        <f t="shared" si="57"/>
        <v>0</v>
      </c>
      <c r="I207" s="69">
        <f t="shared" si="57"/>
        <v>0</v>
      </c>
      <c r="J207" s="69">
        <f t="shared" si="57"/>
        <v>0</v>
      </c>
      <c r="K207" s="67"/>
      <c r="L207" s="67"/>
      <c r="M207" s="67"/>
      <c r="N207" s="67"/>
      <c r="O207" s="67"/>
      <c r="P207" s="67"/>
      <c r="Q207" s="67"/>
      <c r="R207" s="67"/>
      <c r="S207" s="67"/>
      <c r="T207" s="67"/>
      <c r="U207" s="67"/>
      <c r="V207" s="67"/>
      <c r="W207" s="67"/>
    </row>
    <row r="208" spans="1:23">
      <c r="A208" s="68">
        <f t="shared" si="55"/>
        <v>0</v>
      </c>
      <c r="B208" s="68"/>
      <c r="C208" s="184">
        <v>25</v>
      </c>
      <c r="D208" s="69">
        <f t="shared" si="57"/>
        <v>0</v>
      </c>
      <c r="E208" s="69">
        <f t="shared" si="57"/>
        <v>0</v>
      </c>
      <c r="F208" s="69">
        <f t="shared" si="57"/>
        <v>0</v>
      </c>
      <c r="G208" s="69">
        <f t="shared" si="57"/>
        <v>0</v>
      </c>
      <c r="H208" s="69">
        <f t="shared" si="57"/>
        <v>0</v>
      </c>
      <c r="I208" s="69">
        <f t="shared" si="57"/>
        <v>0</v>
      </c>
      <c r="J208" s="69">
        <f t="shared" si="57"/>
        <v>0</v>
      </c>
      <c r="K208" s="67"/>
      <c r="L208" s="67"/>
      <c r="M208" s="67"/>
      <c r="N208" s="67"/>
      <c r="O208" s="67"/>
      <c r="P208" s="67"/>
      <c r="Q208" s="67"/>
      <c r="R208" s="67"/>
      <c r="S208" s="67"/>
      <c r="T208" s="67"/>
      <c r="U208" s="67"/>
      <c r="V208" s="67"/>
      <c r="W208" s="67"/>
    </row>
    <row r="209" spans="1:23">
      <c r="A209" s="68">
        <f t="shared" si="55"/>
        <v>0</v>
      </c>
      <c r="B209" s="68"/>
      <c r="C209" s="184">
        <v>25</v>
      </c>
      <c r="D209" s="69">
        <f t="shared" si="57"/>
        <v>0</v>
      </c>
      <c r="E209" s="69">
        <f t="shared" si="57"/>
        <v>0</v>
      </c>
      <c r="F209" s="69">
        <f t="shared" si="57"/>
        <v>0</v>
      </c>
      <c r="G209" s="69">
        <f t="shared" si="57"/>
        <v>0</v>
      </c>
      <c r="H209" s="69">
        <f t="shared" si="57"/>
        <v>0</v>
      </c>
      <c r="I209" s="69">
        <f t="shared" si="57"/>
        <v>0</v>
      </c>
      <c r="J209" s="69">
        <f t="shared" si="57"/>
        <v>0</v>
      </c>
      <c r="K209" s="67"/>
      <c r="L209" s="67"/>
      <c r="M209" s="67"/>
      <c r="N209" s="67"/>
      <c r="O209" s="67"/>
      <c r="P209" s="67"/>
      <c r="Q209" s="67"/>
      <c r="R209" s="67"/>
      <c r="S209" s="67"/>
      <c r="T209" s="67"/>
      <c r="U209" s="67"/>
      <c r="V209" s="67"/>
      <c r="W209" s="67"/>
    </row>
    <row r="210" spans="1:23">
      <c r="A210" s="68">
        <f t="shared" si="55"/>
        <v>0</v>
      </c>
      <c r="B210" s="68"/>
      <c r="C210" s="184">
        <v>25</v>
      </c>
      <c r="D210" s="69">
        <f t="shared" si="57"/>
        <v>0</v>
      </c>
      <c r="E210" s="69">
        <f t="shared" si="57"/>
        <v>0</v>
      </c>
      <c r="F210" s="69">
        <f t="shared" si="57"/>
        <v>0</v>
      </c>
      <c r="G210" s="69">
        <f t="shared" si="57"/>
        <v>0</v>
      </c>
      <c r="H210" s="69">
        <f t="shared" si="57"/>
        <v>0</v>
      </c>
      <c r="I210" s="69">
        <f t="shared" si="57"/>
        <v>0</v>
      </c>
      <c r="J210" s="69">
        <f t="shared" si="57"/>
        <v>0</v>
      </c>
      <c r="K210" s="67"/>
      <c r="L210" s="67"/>
      <c r="M210" s="67"/>
      <c r="N210" s="67"/>
      <c r="O210" s="67"/>
      <c r="P210" s="67"/>
      <c r="Q210" s="67"/>
      <c r="R210" s="67"/>
      <c r="S210" s="67"/>
      <c r="T210" s="67"/>
      <c r="U210" s="67"/>
      <c r="V210" s="67"/>
      <c r="W210" s="67"/>
    </row>
    <row r="211" spans="1:23">
      <c r="A211" s="68">
        <f t="shared" si="55"/>
        <v>0</v>
      </c>
      <c r="B211" s="68"/>
      <c r="C211" s="184"/>
      <c r="D211" s="69">
        <f t="shared" si="57"/>
        <v>0</v>
      </c>
      <c r="E211" s="69">
        <f t="shared" si="57"/>
        <v>0</v>
      </c>
      <c r="F211" s="69">
        <f t="shared" si="57"/>
        <v>0</v>
      </c>
      <c r="G211" s="69">
        <f t="shared" si="57"/>
        <v>0</v>
      </c>
      <c r="H211" s="69">
        <f t="shared" si="57"/>
        <v>0</v>
      </c>
      <c r="I211" s="69">
        <f t="shared" si="57"/>
        <v>0</v>
      </c>
      <c r="J211" s="69">
        <f t="shared" si="57"/>
        <v>0</v>
      </c>
      <c r="K211" s="67"/>
      <c r="L211" s="67"/>
      <c r="M211" s="67"/>
      <c r="N211" s="67"/>
      <c r="O211" s="67"/>
      <c r="P211" s="67"/>
      <c r="Q211" s="67"/>
      <c r="R211" s="67"/>
      <c r="S211" s="67"/>
      <c r="T211" s="67"/>
      <c r="U211" s="67"/>
      <c r="V211" s="67"/>
      <c r="W211" s="67"/>
    </row>
    <row r="212" spans="1:23">
      <c r="A212" s="68">
        <f t="shared" si="55"/>
        <v>0</v>
      </c>
      <c r="B212" s="68"/>
      <c r="C212" s="184"/>
      <c r="D212" s="69">
        <f t="shared" si="57"/>
        <v>0</v>
      </c>
      <c r="E212" s="69">
        <f t="shared" si="57"/>
        <v>0</v>
      </c>
      <c r="F212" s="69">
        <f t="shared" si="57"/>
        <v>0</v>
      </c>
      <c r="G212" s="69">
        <f t="shared" si="57"/>
        <v>0</v>
      </c>
      <c r="H212" s="69">
        <f t="shared" si="57"/>
        <v>0</v>
      </c>
      <c r="I212" s="69">
        <f t="shared" si="57"/>
        <v>0</v>
      </c>
      <c r="J212" s="69">
        <f t="shared" si="57"/>
        <v>0</v>
      </c>
      <c r="K212" s="67"/>
      <c r="L212" s="67"/>
      <c r="M212" s="67"/>
      <c r="N212" s="67"/>
      <c r="O212" s="67"/>
      <c r="P212" s="67"/>
      <c r="Q212" s="67"/>
      <c r="R212" s="67"/>
      <c r="S212" s="67"/>
      <c r="T212" s="67"/>
      <c r="U212" s="67"/>
      <c r="V212" s="67"/>
      <c r="W212" s="67"/>
    </row>
    <row r="213" spans="1:23">
      <c r="A213" s="68">
        <f t="shared" si="55"/>
        <v>0</v>
      </c>
      <c r="B213" s="68"/>
      <c r="C213" s="184"/>
      <c r="D213" s="69">
        <f t="shared" si="57"/>
        <v>0</v>
      </c>
      <c r="E213" s="69">
        <f t="shared" si="57"/>
        <v>0</v>
      </c>
      <c r="F213" s="69">
        <f t="shared" si="57"/>
        <v>0</v>
      </c>
      <c r="G213" s="69">
        <f t="shared" si="57"/>
        <v>0</v>
      </c>
      <c r="H213" s="69">
        <f t="shared" si="57"/>
        <v>0</v>
      </c>
      <c r="I213" s="69">
        <f t="shared" si="57"/>
        <v>0</v>
      </c>
      <c r="J213" s="69">
        <f t="shared" si="57"/>
        <v>0</v>
      </c>
      <c r="K213" s="67"/>
      <c r="L213" s="67"/>
      <c r="M213" s="67"/>
      <c r="N213" s="67"/>
      <c r="O213" s="67"/>
      <c r="P213" s="67"/>
      <c r="Q213" s="67"/>
      <c r="R213" s="67"/>
      <c r="S213" s="67"/>
      <c r="T213" s="67"/>
      <c r="U213" s="67"/>
      <c r="V213" s="67"/>
      <c r="W213" s="67"/>
    </row>
    <row r="214" spans="1:23">
      <c r="A214" s="68" t="str">
        <f t="shared" si="55"/>
        <v>Summer</v>
      </c>
      <c r="B214" s="68"/>
      <c r="C214" s="184"/>
      <c r="D214" s="69">
        <f t="shared" si="57"/>
        <v>0</v>
      </c>
      <c r="E214" s="69">
        <f t="shared" si="57"/>
        <v>0</v>
      </c>
      <c r="F214" s="69">
        <f t="shared" si="57"/>
        <v>0</v>
      </c>
      <c r="G214" s="69">
        <f t="shared" si="57"/>
        <v>0</v>
      </c>
      <c r="H214" s="69">
        <f t="shared" si="57"/>
        <v>0</v>
      </c>
      <c r="I214" s="69">
        <f t="shared" si="57"/>
        <v>0</v>
      </c>
      <c r="J214" s="69">
        <f t="shared" si="57"/>
        <v>0</v>
      </c>
      <c r="K214" s="67"/>
      <c r="L214" s="67"/>
      <c r="M214" s="67"/>
      <c r="N214" s="67"/>
      <c r="O214" s="67"/>
      <c r="P214" s="67"/>
      <c r="Q214" s="67"/>
      <c r="R214" s="67"/>
      <c r="S214" s="67"/>
      <c r="T214" s="67"/>
      <c r="U214" s="67"/>
      <c r="V214" s="67"/>
      <c r="W214" s="67"/>
    </row>
    <row r="215" spans="1:23">
      <c r="A215" s="68">
        <f t="shared" si="55"/>
        <v>0</v>
      </c>
      <c r="B215" s="68"/>
      <c r="C215" s="184"/>
      <c r="D215" s="69">
        <f t="shared" si="57"/>
        <v>0</v>
      </c>
      <c r="E215" s="69">
        <f t="shared" si="57"/>
        <v>0</v>
      </c>
      <c r="F215" s="69">
        <f t="shared" si="57"/>
        <v>0</v>
      </c>
      <c r="G215" s="69">
        <f t="shared" si="57"/>
        <v>0</v>
      </c>
      <c r="H215" s="69">
        <f t="shared" si="57"/>
        <v>0</v>
      </c>
      <c r="I215" s="69">
        <f t="shared" si="57"/>
        <v>0</v>
      </c>
      <c r="J215" s="69">
        <f t="shared" si="57"/>
        <v>0</v>
      </c>
      <c r="K215" s="67"/>
      <c r="L215" s="67"/>
      <c r="M215" s="67"/>
      <c r="N215" s="67"/>
      <c r="O215" s="67"/>
      <c r="P215" s="67"/>
      <c r="Q215" s="67"/>
      <c r="R215" s="67"/>
      <c r="S215" s="67"/>
      <c r="T215" s="67"/>
      <c r="U215" s="67"/>
      <c r="V215" s="67"/>
      <c r="W215" s="67"/>
    </row>
    <row r="216" spans="1:23">
      <c r="A216" s="68">
        <f t="shared" si="55"/>
        <v>0</v>
      </c>
      <c r="B216" s="68"/>
      <c r="C216" s="184"/>
      <c r="D216" s="69">
        <f t="shared" si="57"/>
        <v>0</v>
      </c>
      <c r="E216" s="69">
        <f t="shared" si="57"/>
        <v>0</v>
      </c>
      <c r="F216" s="69">
        <f t="shared" si="57"/>
        <v>0</v>
      </c>
      <c r="G216" s="69">
        <f t="shared" si="57"/>
        <v>0</v>
      </c>
      <c r="H216" s="69">
        <f t="shared" si="57"/>
        <v>0</v>
      </c>
      <c r="I216" s="69">
        <f t="shared" si="57"/>
        <v>0</v>
      </c>
      <c r="J216" s="69">
        <f t="shared" si="57"/>
        <v>0</v>
      </c>
      <c r="K216" s="67"/>
      <c r="L216" s="67"/>
      <c r="M216" s="67"/>
      <c r="N216" s="67"/>
      <c r="O216" s="67"/>
      <c r="P216" s="67"/>
      <c r="Q216" s="67"/>
      <c r="R216" s="67"/>
      <c r="S216" s="67"/>
      <c r="T216" s="67"/>
      <c r="U216" s="67"/>
      <c r="V216" s="67"/>
      <c r="W216" s="67"/>
    </row>
    <row r="217" spans="1:23">
      <c r="A217" s="68">
        <f t="shared" si="55"/>
        <v>0</v>
      </c>
      <c r="B217" s="68"/>
      <c r="C217" s="184"/>
      <c r="D217" s="69">
        <f t="shared" ref="D217:J219" si="58">C82*$C217*D$124</f>
        <v>0</v>
      </c>
      <c r="E217" s="69">
        <f t="shared" si="58"/>
        <v>0</v>
      </c>
      <c r="F217" s="69">
        <f t="shared" si="58"/>
        <v>0</v>
      </c>
      <c r="G217" s="69">
        <f t="shared" si="58"/>
        <v>0</v>
      </c>
      <c r="H217" s="69">
        <f t="shared" si="58"/>
        <v>0</v>
      </c>
      <c r="I217" s="69">
        <f t="shared" si="58"/>
        <v>0</v>
      </c>
      <c r="J217" s="69">
        <f t="shared" si="58"/>
        <v>0</v>
      </c>
      <c r="K217" s="67"/>
      <c r="L217" s="67"/>
      <c r="M217" s="67"/>
      <c r="N217" s="67"/>
      <c r="O217" s="67"/>
      <c r="P217" s="67"/>
      <c r="Q217" s="67"/>
      <c r="R217" s="67"/>
      <c r="S217" s="67"/>
      <c r="T217" s="67"/>
      <c r="U217" s="67"/>
      <c r="V217" s="67"/>
      <c r="W217" s="67"/>
    </row>
    <row r="218" spans="1:23">
      <c r="A218" s="68">
        <f t="shared" si="55"/>
        <v>0</v>
      </c>
      <c r="B218" s="68"/>
      <c r="C218" s="184"/>
      <c r="D218" s="69">
        <f t="shared" si="58"/>
        <v>0</v>
      </c>
      <c r="E218" s="69">
        <f t="shared" si="58"/>
        <v>0</v>
      </c>
      <c r="F218" s="69">
        <f t="shared" si="58"/>
        <v>0</v>
      </c>
      <c r="G218" s="69">
        <f t="shared" si="58"/>
        <v>0</v>
      </c>
      <c r="H218" s="69">
        <f t="shared" si="58"/>
        <v>0</v>
      </c>
      <c r="I218" s="69">
        <f t="shared" si="58"/>
        <v>0</v>
      </c>
      <c r="J218" s="69">
        <f t="shared" si="58"/>
        <v>0</v>
      </c>
      <c r="K218" s="67"/>
      <c r="L218" s="67"/>
      <c r="M218" s="67"/>
      <c r="N218" s="67"/>
      <c r="O218" s="67"/>
      <c r="P218" s="67"/>
      <c r="Q218" s="67"/>
      <c r="R218" s="67"/>
      <c r="S218" s="67"/>
      <c r="T218" s="67"/>
      <c r="U218" s="67"/>
      <c r="V218" s="67"/>
      <c r="W218" s="67"/>
    </row>
    <row r="219" spans="1:23">
      <c r="A219" s="68">
        <f t="shared" si="55"/>
        <v>0</v>
      </c>
      <c r="B219" s="68"/>
      <c r="C219" s="184"/>
      <c r="D219" s="69">
        <f t="shared" si="58"/>
        <v>0</v>
      </c>
      <c r="E219" s="69">
        <f t="shared" si="58"/>
        <v>0</v>
      </c>
      <c r="F219" s="69">
        <f t="shared" si="58"/>
        <v>0</v>
      </c>
      <c r="G219" s="69">
        <f t="shared" si="58"/>
        <v>0</v>
      </c>
      <c r="H219" s="69">
        <f t="shared" si="58"/>
        <v>0</v>
      </c>
      <c r="I219" s="69">
        <f t="shared" si="58"/>
        <v>0</v>
      </c>
      <c r="J219" s="69">
        <f t="shared" si="58"/>
        <v>0</v>
      </c>
      <c r="K219" s="67"/>
      <c r="L219" s="67"/>
      <c r="M219" s="67"/>
      <c r="N219" s="67"/>
      <c r="O219" s="67"/>
      <c r="P219" s="67"/>
      <c r="Q219" s="67"/>
      <c r="R219" s="67"/>
      <c r="S219" s="67"/>
      <c r="T219" s="67"/>
      <c r="U219" s="67"/>
      <c r="V219" s="67"/>
      <c r="W219" s="67"/>
    </row>
    <row r="220" spans="1:23">
      <c r="A220" s="68" t="str">
        <f t="shared" si="55"/>
        <v>Fruit  &amp; Vegetables Crop Production Details</v>
      </c>
      <c r="B220" s="68"/>
      <c r="C220" s="69"/>
      <c r="D220" s="69"/>
      <c r="E220" s="69"/>
      <c r="F220" s="69"/>
      <c r="G220" s="69"/>
      <c r="H220" s="69"/>
      <c r="I220" s="69"/>
      <c r="J220" s="69"/>
      <c r="K220" s="67"/>
      <c r="L220" s="67"/>
      <c r="M220" s="67"/>
      <c r="N220" s="67"/>
      <c r="O220" s="67"/>
      <c r="P220" s="67"/>
      <c r="Q220" s="67"/>
      <c r="R220" s="67"/>
      <c r="S220" s="67"/>
      <c r="T220" s="67"/>
      <c r="U220" s="67"/>
      <c r="V220" s="67"/>
      <c r="W220" s="67"/>
    </row>
    <row r="221" spans="1:23">
      <c r="A221" s="68" t="e">
        <f t="shared" si="55"/>
        <v>#REF!</v>
      </c>
      <c r="B221" s="68"/>
      <c r="C221" s="184"/>
      <c r="D221" s="69">
        <f t="shared" ref="D221:J230" si="59">C86*$C221*D$124</f>
        <v>0</v>
      </c>
      <c r="E221" s="69">
        <f t="shared" si="59"/>
        <v>0</v>
      </c>
      <c r="F221" s="69">
        <f t="shared" si="59"/>
        <v>0</v>
      </c>
      <c r="G221" s="69">
        <f t="shared" si="59"/>
        <v>0</v>
      </c>
      <c r="H221" s="69">
        <f t="shared" si="59"/>
        <v>0</v>
      </c>
      <c r="I221" s="69">
        <f t="shared" si="59"/>
        <v>0</v>
      </c>
      <c r="J221" s="69">
        <f t="shared" si="59"/>
        <v>0</v>
      </c>
      <c r="K221" s="67"/>
      <c r="L221" s="67"/>
      <c r="M221" s="67"/>
      <c r="N221" s="67"/>
      <c r="O221" s="67"/>
      <c r="P221" s="67"/>
      <c r="Q221" s="67"/>
      <c r="R221" s="67"/>
      <c r="S221" s="67"/>
      <c r="T221" s="67"/>
      <c r="U221" s="67"/>
      <c r="V221" s="67"/>
      <c r="W221" s="67"/>
    </row>
    <row r="222" spans="1:23">
      <c r="A222" s="68" t="str">
        <f t="shared" si="55"/>
        <v>Cashew Nut</v>
      </c>
      <c r="B222" s="68"/>
      <c r="C222" s="184"/>
      <c r="D222" s="69">
        <f t="shared" si="59"/>
        <v>0</v>
      </c>
      <c r="E222" s="69">
        <f t="shared" si="59"/>
        <v>0</v>
      </c>
      <c r="F222" s="69">
        <f t="shared" si="59"/>
        <v>0</v>
      </c>
      <c r="G222" s="69">
        <f t="shared" si="59"/>
        <v>0</v>
      </c>
      <c r="H222" s="69">
        <f t="shared" si="59"/>
        <v>0</v>
      </c>
      <c r="I222" s="69">
        <f t="shared" si="59"/>
        <v>0</v>
      </c>
      <c r="J222" s="69">
        <f t="shared" si="59"/>
        <v>0</v>
      </c>
      <c r="K222" s="67"/>
      <c r="L222" s="67"/>
      <c r="M222" s="67"/>
      <c r="N222" s="67"/>
      <c r="O222" s="67"/>
      <c r="P222" s="67"/>
      <c r="Q222" s="67"/>
      <c r="R222" s="67"/>
      <c r="S222" s="67"/>
      <c r="T222" s="67"/>
      <c r="U222" s="67"/>
      <c r="V222" s="67"/>
      <c r="W222" s="67"/>
    </row>
    <row r="223" spans="1:23">
      <c r="A223" s="68" t="str">
        <f t="shared" si="55"/>
        <v>Raw Cashew Nut</v>
      </c>
      <c r="B223" s="68"/>
      <c r="C223" s="184"/>
      <c r="D223" s="69">
        <f t="shared" si="59"/>
        <v>0</v>
      </c>
      <c r="E223" s="69">
        <f t="shared" si="59"/>
        <v>0</v>
      </c>
      <c r="F223" s="69">
        <f t="shared" si="59"/>
        <v>0</v>
      </c>
      <c r="G223" s="69">
        <f t="shared" si="59"/>
        <v>0</v>
      </c>
      <c r="H223" s="69">
        <f t="shared" si="59"/>
        <v>0</v>
      </c>
      <c r="I223" s="69">
        <f t="shared" si="59"/>
        <v>0</v>
      </c>
      <c r="J223" s="69">
        <f t="shared" si="59"/>
        <v>0</v>
      </c>
      <c r="K223" s="67"/>
      <c r="L223" s="67"/>
      <c r="M223" s="67"/>
      <c r="N223" s="67"/>
      <c r="O223" s="67"/>
      <c r="P223" s="67"/>
      <c r="Q223" s="67"/>
      <c r="R223" s="67"/>
      <c r="S223" s="67"/>
      <c r="T223" s="67"/>
      <c r="U223" s="67"/>
      <c r="V223" s="67"/>
      <c r="W223" s="67"/>
    </row>
    <row r="224" spans="1:23">
      <c r="A224" s="68">
        <f t="shared" si="55"/>
        <v>0</v>
      </c>
      <c r="B224" s="68"/>
      <c r="C224" s="184"/>
      <c r="D224" s="69">
        <f t="shared" si="59"/>
        <v>0</v>
      </c>
      <c r="E224" s="69">
        <f t="shared" si="59"/>
        <v>0</v>
      </c>
      <c r="F224" s="69">
        <f t="shared" si="59"/>
        <v>0</v>
      </c>
      <c r="G224" s="69">
        <f t="shared" si="59"/>
        <v>0</v>
      </c>
      <c r="H224" s="69">
        <f t="shared" si="59"/>
        <v>0</v>
      </c>
      <c r="I224" s="69">
        <f t="shared" si="59"/>
        <v>0</v>
      </c>
      <c r="J224" s="69">
        <f t="shared" si="59"/>
        <v>0</v>
      </c>
      <c r="K224" s="67"/>
      <c r="L224" s="67"/>
      <c r="M224" s="67"/>
      <c r="N224" s="67"/>
      <c r="O224" s="67"/>
      <c r="P224" s="67"/>
      <c r="Q224" s="67"/>
      <c r="R224" s="67"/>
      <c r="S224" s="67"/>
      <c r="T224" s="67"/>
      <c r="U224" s="67"/>
      <c r="V224" s="67"/>
      <c r="W224" s="67"/>
    </row>
    <row r="225" spans="1:23">
      <c r="A225" s="68">
        <f t="shared" si="55"/>
        <v>0</v>
      </c>
      <c r="B225" s="68"/>
      <c r="C225" s="184"/>
      <c r="D225" s="69">
        <f t="shared" si="59"/>
        <v>0</v>
      </c>
      <c r="E225" s="69">
        <f t="shared" si="59"/>
        <v>0</v>
      </c>
      <c r="F225" s="69">
        <f t="shared" si="59"/>
        <v>0</v>
      </c>
      <c r="G225" s="69">
        <f t="shared" si="59"/>
        <v>0</v>
      </c>
      <c r="H225" s="69">
        <f t="shared" si="59"/>
        <v>0</v>
      </c>
      <c r="I225" s="69">
        <f t="shared" si="59"/>
        <v>0</v>
      </c>
      <c r="J225" s="69">
        <f t="shared" si="59"/>
        <v>0</v>
      </c>
      <c r="K225" s="67"/>
      <c r="L225" s="67"/>
      <c r="M225" s="67"/>
      <c r="N225" s="67"/>
      <c r="O225" s="67"/>
      <c r="P225" s="67"/>
      <c r="Q225" s="67"/>
      <c r="R225" s="67"/>
      <c r="S225" s="67"/>
      <c r="T225" s="67"/>
      <c r="U225" s="67"/>
      <c r="V225" s="67"/>
      <c r="W225" s="67"/>
    </row>
    <row r="226" spans="1:23">
      <c r="A226" s="68">
        <f t="shared" si="55"/>
        <v>0</v>
      </c>
      <c r="B226" s="68"/>
      <c r="C226" s="184"/>
      <c r="D226" s="69">
        <f t="shared" si="59"/>
        <v>0</v>
      </c>
      <c r="E226" s="69">
        <f t="shared" si="59"/>
        <v>0</v>
      </c>
      <c r="F226" s="69">
        <f t="shared" si="59"/>
        <v>0</v>
      </c>
      <c r="G226" s="69">
        <f t="shared" si="59"/>
        <v>0</v>
      </c>
      <c r="H226" s="69">
        <f t="shared" si="59"/>
        <v>0</v>
      </c>
      <c r="I226" s="69">
        <f t="shared" si="59"/>
        <v>0</v>
      </c>
      <c r="J226" s="69">
        <f t="shared" si="59"/>
        <v>0</v>
      </c>
      <c r="K226" s="67"/>
      <c r="L226" s="67"/>
      <c r="M226" s="67"/>
      <c r="N226" s="67"/>
      <c r="O226" s="67"/>
      <c r="P226" s="67"/>
      <c r="Q226" s="67"/>
      <c r="R226" s="67"/>
      <c r="S226" s="67"/>
      <c r="T226" s="67"/>
      <c r="U226" s="67"/>
      <c r="V226" s="67"/>
      <c r="W226" s="67"/>
    </row>
    <row r="227" spans="1:23">
      <c r="A227" s="68">
        <f t="shared" si="55"/>
        <v>0</v>
      </c>
      <c r="B227" s="68"/>
      <c r="C227" s="184"/>
      <c r="D227" s="69">
        <f t="shared" si="59"/>
        <v>0</v>
      </c>
      <c r="E227" s="69">
        <f t="shared" si="59"/>
        <v>0</v>
      </c>
      <c r="F227" s="69">
        <f t="shared" si="59"/>
        <v>0</v>
      </c>
      <c r="G227" s="69">
        <f t="shared" si="59"/>
        <v>0</v>
      </c>
      <c r="H227" s="69">
        <f t="shared" si="59"/>
        <v>0</v>
      </c>
      <c r="I227" s="69">
        <f t="shared" si="59"/>
        <v>0</v>
      </c>
      <c r="J227" s="69">
        <f t="shared" si="59"/>
        <v>0</v>
      </c>
      <c r="K227" s="67"/>
      <c r="L227" s="67"/>
      <c r="M227" s="67"/>
      <c r="N227" s="67"/>
      <c r="O227" s="67"/>
      <c r="P227" s="67"/>
      <c r="Q227" s="67"/>
      <c r="R227" s="67"/>
      <c r="S227" s="67"/>
      <c r="T227" s="67"/>
      <c r="U227" s="67"/>
      <c r="V227" s="67"/>
      <c r="W227" s="67"/>
    </row>
    <row r="228" spans="1:23">
      <c r="A228" s="68">
        <f t="shared" si="55"/>
        <v>0</v>
      </c>
      <c r="B228" s="68"/>
      <c r="C228" s="184"/>
      <c r="D228" s="69">
        <f t="shared" si="59"/>
        <v>0</v>
      </c>
      <c r="E228" s="69">
        <f t="shared" si="59"/>
        <v>0</v>
      </c>
      <c r="F228" s="69">
        <f t="shared" si="59"/>
        <v>0</v>
      </c>
      <c r="G228" s="69">
        <f t="shared" si="59"/>
        <v>0</v>
      </c>
      <c r="H228" s="69">
        <f t="shared" si="59"/>
        <v>0</v>
      </c>
      <c r="I228" s="69">
        <f t="shared" si="59"/>
        <v>0</v>
      </c>
      <c r="J228" s="69">
        <f t="shared" si="59"/>
        <v>0</v>
      </c>
      <c r="K228" s="67"/>
      <c r="L228" s="67"/>
      <c r="M228" s="67"/>
      <c r="N228" s="67"/>
      <c r="O228" s="67"/>
      <c r="P228" s="67"/>
      <c r="Q228" s="67"/>
      <c r="R228" s="67"/>
      <c r="S228" s="67"/>
      <c r="T228" s="67"/>
      <c r="U228" s="67"/>
      <c r="V228" s="67"/>
      <c r="W228" s="67"/>
    </row>
    <row r="229" spans="1:23">
      <c r="A229" s="68">
        <f t="shared" si="55"/>
        <v>0</v>
      </c>
      <c r="B229" s="68"/>
      <c r="C229" s="184"/>
      <c r="D229" s="69">
        <f t="shared" si="59"/>
        <v>0</v>
      </c>
      <c r="E229" s="69">
        <f t="shared" si="59"/>
        <v>0</v>
      </c>
      <c r="F229" s="69">
        <f t="shared" si="59"/>
        <v>0</v>
      </c>
      <c r="G229" s="69">
        <f t="shared" si="59"/>
        <v>0</v>
      </c>
      <c r="H229" s="69">
        <f t="shared" si="59"/>
        <v>0</v>
      </c>
      <c r="I229" s="69">
        <f t="shared" si="59"/>
        <v>0</v>
      </c>
      <c r="J229" s="69">
        <f t="shared" si="59"/>
        <v>0</v>
      </c>
      <c r="K229" s="67"/>
      <c r="L229" s="67"/>
      <c r="M229" s="67"/>
      <c r="N229" s="67"/>
      <c r="O229" s="67"/>
      <c r="P229" s="67"/>
      <c r="Q229" s="67"/>
      <c r="R229" s="67"/>
      <c r="S229" s="67"/>
      <c r="T229" s="67"/>
      <c r="U229" s="67"/>
      <c r="V229" s="67"/>
      <c r="W229" s="67"/>
    </row>
    <row r="230" spans="1:23">
      <c r="A230" s="68">
        <f t="shared" si="55"/>
        <v>0</v>
      </c>
      <c r="B230" s="68"/>
      <c r="C230" s="184"/>
      <c r="D230" s="69">
        <f t="shared" si="59"/>
        <v>0</v>
      </c>
      <c r="E230" s="69">
        <f t="shared" si="59"/>
        <v>0</v>
      </c>
      <c r="F230" s="69">
        <f t="shared" si="59"/>
        <v>0</v>
      </c>
      <c r="G230" s="69">
        <f t="shared" si="59"/>
        <v>0</v>
      </c>
      <c r="H230" s="69">
        <f t="shared" si="59"/>
        <v>0</v>
      </c>
      <c r="I230" s="69">
        <f t="shared" si="59"/>
        <v>0</v>
      </c>
      <c r="J230" s="69">
        <f t="shared" si="59"/>
        <v>0</v>
      </c>
      <c r="K230" s="67"/>
      <c r="L230" s="67"/>
      <c r="M230" s="67"/>
      <c r="N230" s="67"/>
      <c r="O230" s="67"/>
      <c r="P230" s="67"/>
      <c r="Q230" s="67"/>
      <c r="R230" s="67"/>
      <c r="S230" s="67"/>
      <c r="T230" s="67"/>
      <c r="U230" s="67"/>
      <c r="V230" s="67"/>
      <c r="W230" s="67"/>
    </row>
    <row r="231" spans="1:23">
      <c r="A231" s="68">
        <f t="shared" si="55"/>
        <v>0</v>
      </c>
      <c r="B231" s="68"/>
      <c r="C231" s="184"/>
      <c r="D231" s="69">
        <f t="shared" ref="D231:J238" si="60">C96*$C231*D$124</f>
        <v>0</v>
      </c>
      <c r="E231" s="69">
        <f t="shared" si="60"/>
        <v>0</v>
      </c>
      <c r="F231" s="69">
        <f t="shared" si="60"/>
        <v>0</v>
      </c>
      <c r="G231" s="69">
        <f t="shared" si="60"/>
        <v>0</v>
      </c>
      <c r="H231" s="69">
        <f t="shared" si="60"/>
        <v>0</v>
      </c>
      <c r="I231" s="69">
        <f t="shared" si="60"/>
        <v>0</v>
      </c>
      <c r="J231" s="69">
        <f t="shared" si="60"/>
        <v>0</v>
      </c>
      <c r="K231" s="67"/>
      <c r="L231" s="67"/>
      <c r="M231" s="67"/>
      <c r="N231" s="67"/>
      <c r="O231" s="67"/>
      <c r="P231" s="67"/>
      <c r="Q231" s="67"/>
      <c r="R231" s="67"/>
      <c r="S231" s="67"/>
      <c r="T231" s="67"/>
      <c r="U231" s="67"/>
      <c r="V231" s="67"/>
      <c r="W231" s="67"/>
    </row>
    <row r="232" spans="1:23">
      <c r="A232" s="68">
        <f t="shared" si="55"/>
        <v>0</v>
      </c>
      <c r="B232" s="68"/>
      <c r="C232" s="184"/>
      <c r="D232" s="69">
        <f t="shared" si="60"/>
        <v>0</v>
      </c>
      <c r="E232" s="69">
        <f t="shared" si="60"/>
        <v>0</v>
      </c>
      <c r="F232" s="69">
        <f t="shared" si="60"/>
        <v>0</v>
      </c>
      <c r="G232" s="69">
        <f t="shared" si="60"/>
        <v>0</v>
      </c>
      <c r="H232" s="69">
        <f t="shared" si="60"/>
        <v>0</v>
      </c>
      <c r="I232" s="69">
        <f t="shared" si="60"/>
        <v>0</v>
      </c>
      <c r="J232" s="69">
        <f t="shared" si="60"/>
        <v>0</v>
      </c>
      <c r="K232" s="67"/>
      <c r="L232" s="67"/>
      <c r="M232" s="67"/>
      <c r="N232" s="67"/>
      <c r="O232" s="67"/>
      <c r="P232" s="67"/>
      <c r="Q232" s="67"/>
      <c r="R232" s="67"/>
      <c r="S232" s="67"/>
      <c r="T232" s="67"/>
      <c r="U232" s="67"/>
      <c r="V232" s="67"/>
      <c r="W232" s="67"/>
    </row>
    <row r="233" spans="1:23">
      <c r="A233" s="68">
        <f t="shared" si="55"/>
        <v>0</v>
      </c>
      <c r="B233" s="68"/>
      <c r="C233" s="184"/>
      <c r="D233" s="69">
        <f t="shared" si="60"/>
        <v>0</v>
      </c>
      <c r="E233" s="69">
        <f t="shared" si="60"/>
        <v>0</v>
      </c>
      <c r="F233" s="69">
        <f t="shared" si="60"/>
        <v>0</v>
      </c>
      <c r="G233" s="69">
        <f t="shared" si="60"/>
        <v>0</v>
      </c>
      <c r="H233" s="69">
        <f t="shared" si="60"/>
        <v>0</v>
      </c>
      <c r="I233" s="69">
        <f t="shared" si="60"/>
        <v>0</v>
      </c>
      <c r="J233" s="69">
        <f t="shared" si="60"/>
        <v>0</v>
      </c>
      <c r="K233" s="67"/>
      <c r="L233" s="67"/>
      <c r="M233" s="67"/>
      <c r="N233" s="67"/>
      <c r="O233" s="67"/>
      <c r="P233" s="67"/>
      <c r="Q233" s="67"/>
      <c r="R233" s="67"/>
      <c r="S233" s="67"/>
      <c r="T233" s="67"/>
      <c r="U233" s="67"/>
      <c r="V233" s="67"/>
      <c r="W233" s="67"/>
    </row>
    <row r="234" spans="1:23">
      <c r="A234" s="68">
        <f t="shared" si="55"/>
        <v>0</v>
      </c>
      <c r="B234" s="68"/>
      <c r="C234" s="184"/>
      <c r="D234" s="69">
        <f t="shared" si="60"/>
        <v>0</v>
      </c>
      <c r="E234" s="69">
        <f t="shared" si="60"/>
        <v>0</v>
      </c>
      <c r="F234" s="69">
        <f t="shared" si="60"/>
        <v>0</v>
      </c>
      <c r="G234" s="69">
        <f t="shared" si="60"/>
        <v>0</v>
      </c>
      <c r="H234" s="69">
        <f t="shared" si="60"/>
        <v>0</v>
      </c>
      <c r="I234" s="69">
        <f t="shared" si="60"/>
        <v>0</v>
      </c>
      <c r="J234" s="69">
        <f t="shared" si="60"/>
        <v>0</v>
      </c>
      <c r="K234" s="67"/>
      <c r="L234" s="67"/>
      <c r="M234" s="67"/>
      <c r="N234" s="67"/>
      <c r="O234" s="67"/>
      <c r="P234" s="67"/>
      <c r="Q234" s="67"/>
      <c r="R234" s="67"/>
      <c r="S234" s="67"/>
      <c r="T234" s="67"/>
      <c r="U234" s="67"/>
      <c r="V234" s="67"/>
      <c r="W234" s="67"/>
    </row>
    <row r="235" spans="1:23">
      <c r="A235" s="68">
        <f t="shared" si="55"/>
        <v>0</v>
      </c>
      <c r="B235" s="68"/>
      <c r="C235" s="184"/>
      <c r="D235" s="69">
        <f t="shared" si="60"/>
        <v>0</v>
      </c>
      <c r="E235" s="69">
        <f t="shared" si="60"/>
        <v>0</v>
      </c>
      <c r="F235" s="69">
        <f t="shared" si="60"/>
        <v>0</v>
      </c>
      <c r="G235" s="69">
        <f t="shared" si="60"/>
        <v>0</v>
      </c>
      <c r="H235" s="69">
        <f t="shared" si="60"/>
        <v>0</v>
      </c>
      <c r="I235" s="69">
        <f t="shared" si="60"/>
        <v>0</v>
      </c>
      <c r="J235" s="69">
        <f t="shared" si="60"/>
        <v>0</v>
      </c>
      <c r="K235" s="67"/>
      <c r="L235" s="67"/>
      <c r="M235" s="67"/>
      <c r="N235" s="67"/>
      <c r="O235" s="67"/>
      <c r="P235" s="67"/>
      <c r="Q235" s="67"/>
      <c r="R235" s="67"/>
      <c r="S235" s="67"/>
      <c r="T235" s="67"/>
      <c r="U235" s="67"/>
      <c r="V235" s="67"/>
      <c r="W235" s="67"/>
    </row>
    <row r="236" spans="1:23">
      <c r="A236" s="68">
        <f t="shared" si="55"/>
        <v>0</v>
      </c>
      <c r="B236" s="68"/>
      <c r="C236" s="184"/>
      <c r="D236" s="69">
        <f t="shared" si="60"/>
        <v>0</v>
      </c>
      <c r="E236" s="69">
        <f t="shared" si="60"/>
        <v>0</v>
      </c>
      <c r="F236" s="69">
        <f t="shared" si="60"/>
        <v>0</v>
      </c>
      <c r="G236" s="69">
        <f t="shared" si="60"/>
        <v>0</v>
      </c>
      <c r="H236" s="69">
        <f t="shared" si="60"/>
        <v>0</v>
      </c>
      <c r="I236" s="69">
        <f t="shared" si="60"/>
        <v>0</v>
      </c>
      <c r="J236" s="69">
        <f t="shared" si="60"/>
        <v>0</v>
      </c>
      <c r="K236" s="67"/>
      <c r="L236" s="67"/>
      <c r="M236" s="67"/>
      <c r="N236" s="67"/>
      <c r="O236" s="67"/>
      <c r="P236" s="67"/>
      <c r="Q236" s="67"/>
      <c r="R236" s="67"/>
      <c r="S236" s="67"/>
      <c r="T236" s="67"/>
      <c r="U236" s="67"/>
      <c r="V236" s="67"/>
      <c r="W236" s="67"/>
    </row>
    <row r="237" spans="1:23">
      <c r="A237" s="68">
        <f t="shared" si="55"/>
        <v>0</v>
      </c>
      <c r="B237" s="68"/>
      <c r="C237" s="184"/>
      <c r="D237" s="69">
        <f t="shared" si="60"/>
        <v>0</v>
      </c>
      <c r="E237" s="69">
        <f t="shared" si="60"/>
        <v>0</v>
      </c>
      <c r="F237" s="69">
        <f t="shared" si="60"/>
        <v>0</v>
      </c>
      <c r="G237" s="69">
        <f t="shared" si="60"/>
        <v>0</v>
      </c>
      <c r="H237" s="69">
        <f t="shared" si="60"/>
        <v>0</v>
      </c>
      <c r="I237" s="69">
        <f t="shared" si="60"/>
        <v>0</v>
      </c>
      <c r="J237" s="69">
        <f t="shared" si="60"/>
        <v>0</v>
      </c>
      <c r="K237" s="67"/>
      <c r="L237" s="67"/>
      <c r="M237" s="67"/>
      <c r="N237" s="67"/>
      <c r="O237" s="67"/>
      <c r="P237" s="67"/>
      <c r="Q237" s="67"/>
      <c r="R237" s="67"/>
      <c r="S237" s="67"/>
      <c r="T237" s="67"/>
      <c r="U237" s="67"/>
      <c r="V237" s="67"/>
      <c r="W237" s="67"/>
    </row>
    <row r="238" spans="1:23">
      <c r="A238" s="68">
        <f t="shared" si="55"/>
        <v>0</v>
      </c>
      <c r="B238" s="68"/>
      <c r="C238" s="184"/>
      <c r="D238" s="69">
        <f t="shared" si="60"/>
        <v>0</v>
      </c>
      <c r="E238" s="69">
        <f t="shared" si="60"/>
        <v>0</v>
      </c>
      <c r="F238" s="69">
        <f t="shared" si="60"/>
        <v>0</v>
      </c>
      <c r="G238" s="69">
        <f t="shared" si="60"/>
        <v>0</v>
      </c>
      <c r="H238" s="69">
        <f t="shared" si="60"/>
        <v>0</v>
      </c>
      <c r="I238" s="69">
        <f t="shared" si="60"/>
        <v>0</v>
      </c>
      <c r="J238" s="69">
        <f t="shared" si="60"/>
        <v>0</v>
      </c>
      <c r="K238" s="67"/>
      <c r="L238" s="67"/>
      <c r="M238" s="67"/>
      <c r="N238" s="67"/>
      <c r="O238" s="67"/>
      <c r="P238" s="67"/>
      <c r="Q238" s="67"/>
      <c r="R238" s="67"/>
      <c r="S238" s="67"/>
      <c r="T238" s="67"/>
      <c r="U238" s="67"/>
      <c r="V238" s="67"/>
      <c r="W238" s="67"/>
    </row>
    <row r="239" spans="1:23">
      <c r="A239" s="68">
        <f>A175</f>
        <v>0</v>
      </c>
      <c r="B239" s="68"/>
      <c r="C239" s="184"/>
      <c r="D239" s="69">
        <f t="shared" ref="D239:J243" si="61">C107*$C239*D$124</f>
        <v>0</v>
      </c>
      <c r="E239" s="69">
        <f t="shared" si="61"/>
        <v>0</v>
      </c>
      <c r="F239" s="69">
        <f t="shared" si="61"/>
        <v>0</v>
      </c>
      <c r="G239" s="69">
        <f t="shared" si="61"/>
        <v>0</v>
      </c>
      <c r="H239" s="69">
        <f t="shared" si="61"/>
        <v>0</v>
      </c>
      <c r="I239" s="69">
        <f t="shared" si="61"/>
        <v>0</v>
      </c>
      <c r="J239" s="69">
        <f t="shared" si="61"/>
        <v>0</v>
      </c>
      <c r="K239" s="67"/>
      <c r="L239" s="67"/>
      <c r="M239" s="67"/>
      <c r="N239" s="67"/>
      <c r="O239" s="67"/>
      <c r="P239" s="67"/>
      <c r="Q239" s="67"/>
      <c r="R239" s="67"/>
      <c r="S239" s="67"/>
      <c r="T239" s="67"/>
      <c r="U239" s="67"/>
      <c r="V239" s="67"/>
      <c r="W239" s="67"/>
    </row>
    <row r="240" spans="1:23">
      <c r="A240" s="68">
        <f>A176</f>
        <v>0</v>
      </c>
      <c r="B240" s="68"/>
      <c r="C240" s="184"/>
      <c r="D240" s="69">
        <f t="shared" si="61"/>
        <v>0</v>
      </c>
      <c r="E240" s="69">
        <f t="shared" si="61"/>
        <v>0</v>
      </c>
      <c r="F240" s="69">
        <f t="shared" si="61"/>
        <v>0</v>
      </c>
      <c r="G240" s="69">
        <f t="shared" si="61"/>
        <v>0</v>
      </c>
      <c r="H240" s="69">
        <f t="shared" si="61"/>
        <v>0</v>
      </c>
      <c r="I240" s="69">
        <f t="shared" si="61"/>
        <v>0</v>
      </c>
      <c r="J240" s="69">
        <f t="shared" si="61"/>
        <v>0</v>
      </c>
      <c r="K240" s="67"/>
      <c r="L240" s="67"/>
      <c r="M240" s="67"/>
      <c r="N240" s="67"/>
      <c r="O240" s="67"/>
      <c r="P240" s="67"/>
      <c r="Q240" s="67"/>
      <c r="R240" s="67"/>
      <c r="S240" s="67"/>
      <c r="T240" s="67"/>
      <c r="U240" s="67"/>
      <c r="V240" s="67"/>
      <c r="W240" s="67"/>
    </row>
    <row r="241" spans="1:23">
      <c r="A241" s="68">
        <f>A177</f>
        <v>0</v>
      </c>
      <c r="B241" s="68"/>
      <c r="C241" s="184"/>
      <c r="D241" s="69">
        <f t="shared" si="61"/>
        <v>0</v>
      </c>
      <c r="E241" s="69">
        <f t="shared" si="61"/>
        <v>0</v>
      </c>
      <c r="F241" s="69">
        <f t="shared" si="61"/>
        <v>0</v>
      </c>
      <c r="G241" s="69">
        <f t="shared" si="61"/>
        <v>0</v>
      </c>
      <c r="H241" s="69">
        <f t="shared" si="61"/>
        <v>0</v>
      </c>
      <c r="I241" s="69">
        <f t="shared" si="61"/>
        <v>0</v>
      </c>
      <c r="J241" s="69">
        <f t="shared" si="61"/>
        <v>0</v>
      </c>
      <c r="K241" s="67"/>
      <c r="L241" s="67"/>
      <c r="M241" s="67"/>
      <c r="N241" s="67"/>
      <c r="O241" s="67"/>
      <c r="P241" s="67"/>
      <c r="Q241" s="67"/>
      <c r="R241" s="67"/>
      <c r="S241" s="67"/>
      <c r="T241" s="67"/>
      <c r="U241" s="67"/>
      <c r="V241" s="67"/>
      <c r="W241" s="67"/>
    </row>
    <row r="242" spans="1:23">
      <c r="A242" s="68">
        <f>A178</f>
        <v>0</v>
      </c>
      <c r="B242" s="68"/>
      <c r="C242" s="184"/>
      <c r="D242" s="69">
        <f t="shared" si="61"/>
        <v>0</v>
      </c>
      <c r="E242" s="69">
        <f t="shared" si="61"/>
        <v>0</v>
      </c>
      <c r="F242" s="69">
        <f t="shared" si="61"/>
        <v>0</v>
      </c>
      <c r="G242" s="69">
        <f t="shared" si="61"/>
        <v>0</v>
      </c>
      <c r="H242" s="69">
        <f t="shared" si="61"/>
        <v>0</v>
      </c>
      <c r="I242" s="69">
        <f t="shared" si="61"/>
        <v>0</v>
      </c>
      <c r="J242" s="69">
        <f t="shared" si="61"/>
        <v>0</v>
      </c>
      <c r="K242" s="67"/>
      <c r="L242" s="67"/>
      <c r="M242" s="67"/>
      <c r="N242" s="67"/>
      <c r="O242" s="67"/>
      <c r="P242" s="67"/>
      <c r="Q242" s="67"/>
      <c r="R242" s="67"/>
      <c r="S242" s="67"/>
      <c r="T242" s="67"/>
      <c r="U242" s="67"/>
      <c r="V242" s="67"/>
      <c r="W242" s="67"/>
    </row>
    <row r="243" spans="1:23">
      <c r="A243" s="68">
        <f>A179</f>
        <v>0</v>
      </c>
      <c r="B243" s="68"/>
      <c r="C243" s="184"/>
      <c r="D243" s="69">
        <f t="shared" si="61"/>
        <v>0</v>
      </c>
      <c r="E243" s="69">
        <f t="shared" si="61"/>
        <v>0</v>
      </c>
      <c r="F243" s="69">
        <f t="shared" si="61"/>
        <v>0</v>
      </c>
      <c r="G243" s="69">
        <f t="shared" si="61"/>
        <v>0</v>
      </c>
      <c r="H243" s="69">
        <f t="shared" si="61"/>
        <v>0</v>
      </c>
      <c r="I243" s="69">
        <f t="shared" si="61"/>
        <v>0</v>
      </c>
      <c r="J243" s="69">
        <f t="shared" si="61"/>
        <v>0</v>
      </c>
      <c r="K243" s="67"/>
      <c r="L243" s="67"/>
      <c r="M243" s="67"/>
      <c r="N243" s="67"/>
      <c r="O243" s="67"/>
      <c r="P243" s="67"/>
      <c r="Q243" s="67"/>
      <c r="R243" s="67"/>
      <c r="S243" s="67"/>
      <c r="T243" s="67"/>
      <c r="U243" s="67"/>
      <c r="V243" s="67"/>
      <c r="W243" s="67"/>
    </row>
    <row r="244" spans="1:23">
      <c r="A244" s="68" t="str">
        <f>A181</f>
        <v>Fertilizer(Rate/KG)</v>
      </c>
      <c r="B244" s="68"/>
      <c r="C244" s="69"/>
      <c r="D244" s="69"/>
      <c r="E244" s="69"/>
      <c r="F244" s="69"/>
      <c r="G244" s="69"/>
      <c r="H244" s="69"/>
      <c r="I244" s="69"/>
      <c r="J244" s="69"/>
      <c r="K244" s="67"/>
      <c r="L244" s="67"/>
      <c r="M244" s="67"/>
      <c r="N244" s="67"/>
      <c r="O244" s="67"/>
      <c r="P244" s="67"/>
      <c r="Q244" s="67"/>
      <c r="R244" s="67"/>
      <c r="S244" s="67"/>
      <c r="T244" s="67"/>
      <c r="U244" s="67"/>
      <c r="V244" s="67"/>
      <c r="W244" s="67"/>
    </row>
    <row r="245" spans="1:23">
      <c r="A245" s="68" t="str">
        <f>A182</f>
        <v>SSP</v>
      </c>
      <c r="B245" s="68"/>
      <c r="C245" s="184">
        <v>6</v>
      </c>
      <c r="D245" s="69">
        <f t="shared" ref="D245:J245" si="62">C114*$C$245*D124</f>
        <v>0</v>
      </c>
      <c r="E245" s="69">
        <f t="shared" si="62"/>
        <v>0</v>
      </c>
      <c r="F245" s="69">
        <f t="shared" si="62"/>
        <v>0</v>
      </c>
      <c r="G245" s="69">
        <f t="shared" si="62"/>
        <v>0</v>
      </c>
      <c r="H245" s="69">
        <f t="shared" si="62"/>
        <v>0</v>
      </c>
      <c r="I245" s="69">
        <f t="shared" si="62"/>
        <v>0</v>
      </c>
      <c r="J245" s="69">
        <f t="shared" si="62"/>
        <v>0</v>
      </c>
      <c r="K245" s="67"/>
      <c r="L245" s="67"/>
      <c r="M245" s="67"/>
      <c r="N245" s="67"/>
      <c r="O245" s="67"/>
      <c r="P245" s="67"/>
      <c r="Q245" s="67"/>
      <c r="R245" s="67"/>
      <c r="S245" s="67"/>
      <c r="T245" s="67"/>
      <c r="U245" s="67"/>
      <c r="V245" s="67"/>
      <c r="W245" s="67"/>
    </row>
    <row r="246" spans="1:23">
      <c r="A246" s="68" t="str">
        <f>A183</f>
        <v>Urea</v>
      </c>
      <c r="B246" s="68"/>
      <c r="C246" s="184">
        <v>5</v>
      </c>
      <c r="D246" s="69">
        <f t="shared" ref="D246:J246" si="63">C115*$C$246*D124</f>
        <v>0</v>
      </c>
      <c r="E246" s="69">
        <f t="shared" si="63"/>
        <v>0</v>
      </c>
      <c r="F246" s="69">
        <f t="shared" si="63"/>
        <v>0</v>
      </c>
      <c r="G246" s="69">
        <f t="shared" si="63"/>
        <v>0</v>
      </c>
      <c r="H246" s="69">
        <f t="shared" si="63"/>
        <v>0</v>
      </c>
      <c r="I246" s="69">
        <f t="shared" si="63"/>
        <v>0</v>
      </c>
      <c r="J246" s="69">
        <f t="shared" si="63"/>
        <v>0</v>
      </c>
      <c r="K246" s="67"/>
      <c r="L246" s="67"/>
      <c r="M246" s="67"/>
      <c r="N246" s="67"/>
      <c r="O246" s="67"/>
      <c r="P246" s="67"/>
      <c r="Q246" s="67"/>
      <c r="R246" s="67"/>
      <c r="S246" s="67"/>
      <c r="T246" s="67"/>
      <c r="U246" s="67"/>
      <c r="V246" s="67"/>
      <c r="W246" s="67"/>
    </row>
    <row r="247" spans="1:23">
      <c r="A247" s="68" t="str">
        <f>A184</f>
        <v>DAP</v>
      </c>
      <c r="B247" s="68"/>
      <c r="C247" s="184">
        <v>27</v>
      </c>
      <c r="D247" s="69">
        <f t="shared" ref="D247:J247" si="64">C116*$C$247*D124</f>
        <v>0</v>
      </c>
      <c r="E247" s="69">
        <f t="shared" si="64"/>
        <v>0</v>
      </c>
      <c r="F247" s="69">
        <f t="shared" si="64"/>
        <v>0</v>
      </c>
      <c r="G247" s="69">
        <f t="shared" si="64"/>
        <v>0</v>
      </c>
      <c r="H247" s="69">
        <f t="shared" si="64"/>
        <v>0</v>
      </c>
      <c r="I247" s="69">
        <f t="shared" si="64"/>
        <v>0</v>
      </c>
      <c r="J247" s="69">
        <f t="shared" si="64"/>
        <v>0</v>
      </c>
      <c r="K247" s="67"/>
      <c r="L247" s="67"/>
      <c r="M247" s="67"/>
      <c r="N247" s="67"/>
      <c r="O247" s="67"/>
      <c r="P247" s="67"/>
      <c r="Q247" s="67"/>
      <c r="R247" s="67"/>
      <c r="S247" s="67"/>
      <c r="T247" s="67"/>
      <c r="U247" s="67"/>
      <c r="V247" s="67"/>
      <c r="W247" s="67"/>
    </row>
    <row r="248" spans="1:23">
      <c r="A248" s="68"/>
      <c r="B248" s="68"/>
      <c r="C248" s="69"/>
      <c r="D248" s="69"/>
      <c r="E248" s="69"/>
      <c r="F248" s="69"/>
      <c r="G248" s="69"/>
      <c r="H248" s="69"/>
      <c r="I248" s="69"/>
      <c r="J248" s="69"/>
      <c r="K248" s="67"/>
      <c r="L248" s="67"/>
      <c r="M248" s="67"/>
      <c r="N248" s="67"/>
      <c r="O248" s="67"/>
      <c r="P248" s="67"/>
      <c r="Q248" s="67"/>
      <c r="R248" s="67"/>
      <c r="S248" s="67"/>
      <c r="T248" s="67"/>
      <c r="U248" s="67"/>
      <c r="V248" s="67"/>
      <c r="W248" s="67"/>
    </row>
    <row r="249" spans="1:23">
      <c r="A249" s="68" t="str">
        <f>A186</f>
        <v>Pesticide</v>
      </c>
      <c r="B249" s="68"/>
      <c r="C249" s="69"/>
      <c r="D249" s="69"/>
      <c r="E249" s="69"/>
      <c r="F249" s="69"/>
      <c r="G249" s="69"/>
      <c r="H249" s="69"/>
      <c r="I249" s="69"/>
      <c r="J249" s="69"/>
      <c r="K249" s="67"/>
      <c r="L249" s="67"/>
      <c r="M249" s="67"/>
      <c r="N249" s="67"/>
      <c r="O249" s="67"/>
      <c r="P249" s="67"/>
      <c r="Q249" s="67"/>
      <c r="R249" s="67"/>
      <c r="S249" s="67"/>
      <c r="T249" s="67"/>
      <c r="U249" s="67"/>
      <c r="V249" s="67"/>
      <c r="W249" s="67"/>
    </row>
    <row r="250" spans="1:23">
      <c r="A250" s="68" t="str">
        <f>A187</f>
        <v>Dupont Coragen</v>
      </c>
      <c r="B250" s="68"/>
      <c r="C250" s="184">
        <v>2800</v>
      </c>
      <c r="D250" s="69">
        <f t="shared" ref="D250:J250" si="65">C118*$C$250*D124</f>
        <v>0</v>
      </c>
      <c r="E250" s="69">
        <f t="shared" si="65"/>
        <v>0</v>
      </c>
      <c r="F250" s="69">
        <f t="shared" si="65"/>
        <v>0</v>
      </c>
      <c r="G250" s="69">
        <f t="shared" si="65"/>
        <v>0</v>
      </c>
      <c r="H250" s="69">
        <f t="shared" si="65"/>
        <v>0</v>
      </c>
      <c r="I250" s="69">
        <f t="shared" si="65"/>
        <v>0</v>
      </c>
      <c r="J250" s="69">
        <f t="shared" si="65"/>
        <v>0</v>
      </c>
      <c r="K250" s="67"/>
      <c r="L250" s="67"/>
      <c r="M250" s="67"/>
      <c r="N250" s="67"/>
      <c r="O250" s="67"/>
      <c r="P250" s="67"/>
      <c r="Q250" s="67"/>
      <c r="R250" s="67"/>
      <c r="S250" s="67"/>
      <c r="T250" s="67"/>
      <c r="U250" s="67"/>
      <c r="V250" s="67"/>
      <c r="W250" s="67"/>
    </row>
    <row r="251" spans="1:23">
      <c r="A251" s="68" t="str">
        <f>A188</f>
        <v>Confidor Boyer</v>
      </c>
      <c r="B251" s="68"/>
      <c r="C251" s="184">
        <v>2000</v>
      </c>
      <c r="D251" s="69">
        <f t="shared" ref="D251:J251" si="66">C119*$C$251*D124</f>
        <v>0</v>
      </c>
      <c r="E251" s="69">
        <f t="shared" si="66"/>
        <v>0</v>
      </c>
      <c r="F251" s="69">
        <f t="shared" si="66"/>
        <v>0</v>
      </c>
      <c r="G251" s="69">
        <f t="shared" si="66"/>
        <v>0</v>
      </c>
      <c r="H251" s="69">
        <f t="shared" si="66"/>
        <v>0</v>
      </c>
      <c r="I251" s="69">
        <f t="shared" si="66"/>
        <v>0</v>
      </c>
      <c r="J251" s="69">
        <f t="shared" si="66"/>
        <v>0</v>
      </c>
      <c r="K251" s="67"/>
      <c r="L251" s="67"/>
      <c r="M251" s="67"/>
      <c r="N251" s="67"/>
      <c r="O251" s="67"/>
      <c r="P251" s="67"/>
      <c r="Q251" s="67"/>
      <c r="R251" s="67"/>
      <c r="S251" s="67"/>
      <c r="T251" s="67"/>
      <c r="U251" s="67"/>
      <c r="V251" s="67"/>
      <c r="W251" s="67"/>
    </row>
    <row r="252" spans="1:23">
      <c r="A252" s="68"/>
      <c r="B252" s="68"/>
      <c r="C252" s="69"/>
      <c r="D252" s="69"/>
      <c r="E252" s="69"/>
      <c r="F252" s="69"/>
      <c r="G252" s="69"/>
      <c r="H252" s="69"/>
      <c r="I252" s="69"/>
      <c r="J252" s="69"/>
      <c r="K252" s="67"/>
      <c r="L252" s="67"/>
      <c r="M252" s="67"/>
      <c r="N252" s="67"/>
      <c r="O252" s="67"/>
      <c r="P252" s="67"/>
      <c r="Q252" s="67"/>
      <c r="R252" s="67"/>
      <c r="S252" s="67"/>
      <c r="T252" s="67"/>
      <c r="U252" s="67"/>
      <c r="V252" s="67"/>
      <c r="W252" s="67"/>
    </row>
    <row r="253" spans="1:23">
      <c r="A253" s="68" t="s">
        <v>291</v>
      </c>
      <c r="B253" s="68"/>
      <c r="C253" s="184">
        <v>10</v>
      </c>
      <c r="D253" s="69">
        <f t="shared" ref="D253:J253" si="67">(SUM(C63:C119)/50)*$C$253*D124</f>
        <v>0</v>
      </c>
      <c r="E253" s="69">
        <f t="shared" si="67"/>
        <v>0</v>
      </c>
      <c r="F253" s="69">
        <f t="shared" si="67"/>
        <v>0</v>
      </c>
      <c r="G253" s="69">
        <f t="shared" si="67"/>
        <v>0</v>
      </c>
      <c r="H253" s="69">
        <f t="shared" si="67"/>
        <v>0</v>
      </c>
      <c r="I253" s="69">
        <f t="shared" si="67"/>
        <v>0</v>
      </c>
      <c r="J253" s="69">
        <f t="shared" si="67"/>
        <v>0</v>
      </c>
      <c r="K253" s="67"/>
      <c r="L253" s="67"/>
      <c r="M253" s="67"/>
      <c r="N253" s="67"/>
      <c r="O253" s="67"/>
      <c r="P253" s="67"/>
      <c r="Q253" s="67"/>
      <c r="R253" s="67"/>
      <c r="S253" s="67"/>
      <c r="T253" s="67"/>
      <c r="U253" s="67"/>
      <c r="V253" s="67"/>
      <c r="W253" s="67"/>
    </row>
    <row r="254" spans="1:23">
      <c r="A254" s="68" t="s">
        <v>172</v>
      </c>
      <c r="B254" s="68"/>
      <c r="C254" s="184">
        <v>100</v>
      </c>
      <c r="D254" s="69">
        <f t="shared" ref="D254:J254" si="68">(SUM(C63:C119)/50)*$C$254*D124</f>
        <v>0</v>
      </c>
      <c r="E254" s="69">
        <f t="shared" si="68"/>
        <v>0</v>
      </c>
      <c r="F254" s="69">
        <f t="shared" si="68"/>
        <v>0</v>
      </c>
      <c r="G254" s="69">
        <f t="shared" si="68"/>
        <v>0</v>
      </c>
      <c r="H254" s="69">
        <f t="shared" si="68"/>
        <v>0</v>
      </c>
      <c r="I254" s="69">
        <f t="shared" si="68"/>
        <v>0</v>
      </c>
      <c r="J254" s="69">
        <f t="shared" si="68"/>
        <v>0</v>
      </c>
      <c r="K254" s="67"/>
      <c r="L254" s="67"/>
      <c r="M254" s="67"/>
      <c r="N254" s="67"/>
      <c r="O254" s="67"/>
      <c r="P254" s="67"/>
      <c r="Q254" s="67"/>
      <c r="R254" s="67"/>
      <c r="S254" s="67"/>
      <c r="T254" s="67"/>
      <c r="U254" s="67"/>
      <c r="V254" s="67"/>
      <c r="W254" s="67"/>
    </row>
    <row r="255" spans="1:23">
      <c r="A255" s="68"/>
      <c r="B255" s="68"/>
      <c r="C255" s="184"/>
      <c r="D255" s="160"/>
      <c r="E255" s="69"/>
      <c r="F255" s="69"/>
      <c r="G255" s="69"/>
      <c r="H255" s="69"/>
      <c r="I255" s="69"/>
      <c r="J255" s="69"/>
      <c r="K255" s="67"/>
      <c r="L255" s="67"/>
      <c r="M255" s="67"/>
      <c r="N255" s="67"/>
      <c r="O255" s="67"/>
      <c r="P255" s="67"/>
      <c r="Q255" s="67"/>
      <c r="R255" s="67"/>
      <c r="S255" s="67"/>
      <c r="T255" s="67"/>
      <c r="U255" s="67"/>
      <c r="V255" s="67"/>
      <c r="W255" s="67"/>
    </row>
    <row r="256" spans="1:23">
      <c r="A256" s="68"/>
      <c r="B256" s="68"/>
      <c r="C256" s="184"/>
      <c r="D256" s="160"/>
      <c r="E256" s="69"/>
      <c r="F256" s="69"/>
      <c r="G256" s="69"/>
      <c r="H256" s="69"/>
      <c r="I256" s="69"/>
      <c r="J256" s="69"/>
      <c r="K256" s="67"/>
      <c r="L256" s="67"/>
      <c r="M256" s="67"/>
      <c r="N256" s="67"/>
      <c r="O256" s="67"/>
      <c r="P256" s="67"/>
      <c r="Q256" s="67"/>
      <c r="R256" s="67"/>
      <c r="S256" s="67"/>
      <c r="T256" s="67"/>
      <c r="U256" s="67"/>
      <c r="V256" s="67"/>
      <c r="W256" s="67"/>
    </row>
    <row r="257" spans="1:23">
      <c r="A257" s="68"/>
      <c r="B257" s="68"/>
      <c r="C257" s="184"/>
      <c r="D257" s="160"/>
      <c r="E257" s="69"/>
      <c r="F257" s="69"/>
      <c r="G257" s="69"/>
      <c r="H257" s="69"/>
      <c r="I257" s="69"/>
      <c r="J257" s="69"/>
      <c r="K257" s="67"/>
      <c r="L257" s="67"/>
      <c r="M257" s="67"/>
      <c r="N257" s="67"/>
      <c r="O257" s="67"/>
      <c r="P257" s="67"/>
      <c r="Q257" s="67"/>
      <c r="R257" s="67"/>
      <c r="S257" s="67"/>
      <c r="T257" s="67"/>
      <c r="U257" s="67"/>
      <c r="V257" s="67"/>
      <c r="W257" s="67"/>
    </row>
    <row r="258" spans="1:23">
      <c r="A258" s="68"/>
      <c r="B258" s="68"/>
      <c r="C258" s="184"/>
      <c r="D258" s="160"/>
      <c r="E258" s="69"/>
      <c r="F258" s="69"/>
      <c r="G258" s="69"/>
      <c r="H258" s="69"/>
      <c r="I258" s="69"/>
      <c r="J258" s="69"/>
      <c r="K258" s="67"/>
      <c r="L258" s="67"/>
      <c r="M258" s="67"/>
      <c r="N258" s="67"/>
      <c r="O258" s="67"/>
      <c r="P258" s="67"/>
      <c r="Q258" s="67"/>
      <c r="R258" s="67"/>
      <c r="S258" s="67"/>
      <c r="T258" s="67"/>
      <c r="U258" s="67"/>
      <c r="V258" s="67"/>
      <c r="W258" s="67"/>
    </row>
    <row r="259" spans="1:23">
      <c r="A259" s="68" t="s">
        <v>339</v>
      </c>
      <c r="B259" s="68"/>
      <c r="C259" s="69"/>
      <c r="D259" s="160"/>
      <c r="E259" s="69">
        <f>'5.Closing Stock &amp; W Capital'!F6</f>
        <v>0</v>
      </c>
      <c r="F259" s="69">
        <f>'5.Closing Stock &amp; W Capital'!G6</f>
        <v>0</v>
      </c>
      <c r="G259" s="69">
        <f>'5.Closing Stock &amp; W Capital'!H6</f>
        <v>0</v>
      </c>
      <c r="H259" s="69">
        <f>'5.Closing Stock &amp; W Capital'!I6</f>
        <v>0</v>
      </c>
      <c r="I259" s="69">
        <f>'5.Closing Stock &amp; W Capital'!J6</f>
        <v>0</v>
      </c>
      <c r="J259" s="69">
        <f>'5.Closing Stock &amp; W Capital'!K6</f>
        <v>0</v>
      </c>
      <c r="K259" s="67"/>
      <c r="L259" s="67"/>
      <c r="M259" s="67"/>
      <c r="N259" s="67"/>
      <c r="O259" s="67"/>
      <c r="P259" s="67"/>
      <c r="Q259" s="67"/>
      <c r="R259" s="67"/>
      <c r="S259" s="67"/>
      <c r="T259" s="67"/>
      <c r="U259" s="67"/>
      <c r="V259" s="67"/>
      <c r="W259" s="67"/>
    </row>
    <row r="260" spans="1:23">
      <c r="A260" s="68" t="s">
        <v>340</v>
      </c>
      <c r="B260" s="68"/>
      <c r="C260" s="68"/>
      <c r="D260" s="160">
        <f>'5.Closing Stock &amp; W Capital'!E15</f>
        <v>0</v>
      </c>
      <c r="E260" s="69">
        <f>'5.Closing Stock &amp; W Capital'!F15</f>
        <v>0</v>
      </c>
      <c r="F260" s="69">
        <f>'5.Closing Stock &amp; W Capital'!G15</f>
        <v>0</v>
      </c>
      <c r="G260" s="69">
        <f>'5.Closing Stock &amp; W Capital'!H15</f>
        <v>0</v>
      </c>
      <c r="H260" s="69">
        <f>'5.Closing Stock &amp; W Capital'!I15</f>
        <v>0</v>
      </c>
      <c r="I260" s="69">
        <f>'5.Closing Stock &amp; W Capital'!J15</f>
        <v>0</v>
      </c>
      <c r="J260" s="69">
        <f>'5.Closing Stock &amp; W Capital'!K15</f>
        <v>0</v>
      </c>
      <c r="K260" s="67"/>
      <c r="L260" s="67"/>
      <c r="M260" s="67"/>
      <c r="N260" s="67"/>
      <c r="O260" s="67"/>
      <c r="P260" s="67"/>
      <c r="Q260" s="67"/>
      <c r="R260" s="67"/>
      <c r="S260" s="67"/>
      <c r="T260" s="67"/>
      <c r="U260" s="67"/>
      <c r="V260" s="67"/>
      <c r="W260" s="67"/>
    </row>
    <row r="261" spans="1:23">
      <c r="A261" s="68"/>
      <c r="B261" s="68"/>
      <c r="C261" s="68"/>
      <c r="D261" s="67"/>
      <c r="E261" s="67"/>
      <c r="F261" s="67"/>
      <c r="G261" s="67"/>
      <c r="H261" s="67"/>
      <c r="I261" s="67"/>
      <c r="J261" s="67"/>
      <c r="K261" s="67"/>
      <c r="L261" s="67"/>
      <c r="M261" s="67"/>
      <c r="N261" s="67"/>
      <c r="O261" s="67"/>
      <c r="P261" s="67"/>
      <c r="Q261" s="67"/>
      <c r="R261" s="67"/>
      <c r="S261" s="67"/>
      <c r="T261" s="67"/>
      <c r="U261" s="67"/>
      <c r="V261" s="67"/>
      <c r="W261" s="67"/>
    </row>
    <row r="262" spans="1:23">
      <c r="A262" s="70" t="s">
        <v>318</v>
      </c>
      <c r="B262" s="70"/>
      <c r="C262" s="84"/>
      <c r="D262" s="84">
        <f>SUM(D197:D258)+D259-D260</f>
        <v>0</v>
      </c>
      <c r="E262" s="84">
        <f t="shared" ref="E262:J262" si="69">SUM(E197:E258)+E259-E260</f>
        <v>0</v>
      </c>
      <c r="F262" s="84">
        <f t="shared" si="69"/>
        <v>0</v>
      </c>
      <c r="G262" s="84">
        <f t="shared" si="69"/>
        <v>0</v>
      </c>
      <c r="H262" s="84">
        <f t="shared" si="69"/>
        <v>0</v>
      </c>
      <c r="I262" s="84">
        <f t="shared" si="69"/>
        <v>0</v>
      </c>
      <c r="J262" s="84">
        <f t="shared" si="69"/>
        <v>0</v>
      </c>
      <c r="K262" s="67"/>
      <c r="L262" s="67"/>
      <c r="M262" s="67"/>
      <c r="N262" s="67"/>
      <c r="O262" s="67"/>
      <c r="P262" s="67"/>
      <c r="Q262" s="67"/>
      <c r="R262" s="67"/>
      <c r="S262" s="67"/>
      <c r="T262" s="67"/>
      <c r="U262" s="67"/>
      <c r="V262" s="67"/>
      <c r="W262" s="67"/>
    </row>
    <row r="263" spans="1:23">
      <c r="A263" s="68"/>
      <c r="B263" s="68"/>
      <c r="C263" s="69"/>
      <c r="D263" s="69"/>
      <c r="E263" s="69"/>
      <c r="F263" s="69"/>
      <c r="G263" s="69"/>
      <c r="H263" s="69"/>
      <c r="I263" s="69"/>
      <c r="J263" s="69"/>
      <c r="K263" s="67"/>
      <c r="L263" s="67"/>
      <c r="M263" s="67"/>
      <c r="N263" s="67"/>
      <c r="O263" s="67"/>
      <c r="P263" s="67"/>
      <c r="Q263" s="67"/>
      <c r="R263" s="67"/>
      <c r="S263" s="67"/>
      <c r="T263" s="67"/>
      <c r="U263" s="67"/>
      <c r="V263" s="67"/>
      <c r="W263" s="67"/>
    </row>
    <row r="264" spans="1:23">
      <c r="A264" s="70" t="s">
        <v>309</v>
      </c>
      <c r="B264" s="70"/>
      <c r="C264" s="69"/>
      <c r="D264" s="69"/>
      <c r="E264" s="69"/>
      <c r="F264" s="69"/>
      <c r="G264" s="69"/>
      <c r="H264" s="69"/>
      <c r="I264" s="69"/>
      <c r="J264" s="69"/>
      <c r="K264" s="67"/>
      <c r="L264" s="67"/>
      <c r="M264" s="67"/>
      <c r="N264" s="67"/>
      <c r="O264" s="67"/>
      <c r="P264" s="67"/>
      <c r="Q264" s="67"/>
      <c r="R264" s="67"/>
      <c r="S264" s="67"/>
      <c r="T264" s="67"/>
      <c r="U264" s="67"/>
      <c r="V264" s="67"/>
      <c r="W264" s="67"/>
    </row>
    <row r="265" spans="1:23">
      <c r="A265" s="68" t="s">
        <v>323</v>
      </c>
      <c r="B265" s="68">
        <v>12</v>
      </c>
      <c r="C265" s="184"/>
      <c r="D265" s="69">
        <f t="shared" ref="D265:J265" si="70">$B$265*$C$265*D124</f>
        <v>0</v>
      </c>
      <c r="E265" s="69">
        <f t="shared" si="70"/>
        <v>0</v>
      </c>
      <c r="F265" s="69">
        <f t="shared" si="70"/>
        <v>0</v>
      </c>
      <c r="G265" s="69">
        <f t="shared" si="70"/>
        <v>0</v>
      </c>
      <c r="H265" s="69">
        <f t="shared" si="70"/>
        <v>0</v>
      </c>
      <c r="I265" s="69">
        <f t="shared" si="70"/>
        <v>0</v>
      </c>
      <c r="J265" s="69">
        <f t="shared" si="70"/>
        <v>0</v>
      </c>
      <c r="K265" s="67"/>
      <c r="L265" s="67"/>
      <c r="M265" s="67"/>
      <c r="N265" s="67"/>
      <c r="O265" s="67"/>
      <c r="P265" s="67"/>
      <c r="Q265" s="67"/>
      <c r="R265" s="67"/>
      <c r="S265" s="67"/>
      <c r="T265" s="67"/>
      <c r="U265" s="67"/>
      <c r="V265" s="67"/>
      <c r="W265" s="67"/>
    </row>
    <row r="266" spans="1:23">
      <c r="A266" s="68" t="s">
        <v>324</v>
      </c>
      <c r="B266" s="176">
        <v>1</v>
      </c>
      <c r="C266" s="184"/>
      <c r="D266" s="69">
        <f t="shared" ref="D266:J266" si="71">$B$266*$C$266*12*D124</f>
        <v>0</v>
      </c>
      <c r="E266" s="69">
        <f t="shared" si="71"/>
        <v>0</v>
      </c>
      <c r="F266" s="69">
        <f t="shared" si="71"/>
        <v>0</v>
      </c>
      <c r="G266" s="69">
        <f t="shared" si="71"/>
        <v>0</v>
      </c>
      <c r="H266" s="69">
        <f t="shared" si="71"/>
        <v>0</v>
      </c>
      <c r="I266" s="69">
        <f t="shared" si="71"/>
        <v>0</v>
      </c>
      <c r="J266" s="69">
        <f t="shared" si="71"/>
        <v>0</v>
      </c>
      <c r="K266" s="67"/>
      <c r="L266" s="67"/>
      <c r="M266" s="67"/>
      <c r="N266" s="67"/>
      <c r="O266" s="67"/>
      <c r="P266" s="67"/>
      <c r="Q266" s="67"/>
      <c r="R266" s="67"/>
      <c r="S266" s="67"/>
      <c r="T266" s="67"/>
      <c r="U266" s="67"/>
      <c r="V266" s="67"/>
      <c r="W266" s="67"/>
    </row>
    <row r="267" spans="1:23">
      <c r="A267" s="68" t="s">
        <v>193</v>
      </c>
      <c r="B267" s="176">
        <v>1</v>
      </c>
      <c r="C267" s="184"/>
      <c r="D267" s="69">
        <f t="shared" ref="D267:J267" si="72">$B$267*$C$267*12*D124</f>
        <v>0</v>
      </c>
      <c r="E267" s="69">
        <f t="shared" si="72"/>
        <v>0</v>
      </c>
      <c r="F267" s="69">
        <f t="shared" si="72"/>
        <v>0</v>
      </c>
      <c r="G267" s="69">
        <f t="shared" si="72"/>
        <v>0</v>
      </c>
      <c r="H267" s="69">
        <f t="shared" si="72"/>
        <v>0</v>
      </c>
      <c r="I267" s="69">
        <f t="shared" si="72"/>
        <v>0</v>
      </c>
      <c r="J267" s="69">
        <f t="shared" si="72"/>
        <v>0</v>
      </c>
      <c r="K267" s="67"/>
      <c r="L267" s="67"/>
      <c r="M267" s="67"/>
      <c r="N267" s="67"/>
      <c r="O267" s="67"/>
      <c r="P267" s="67"/>
      <c r="Q267" s="67"/>
      <c r="R267" s="67"/>
      <c r="S267" s="67"/>
      <c r="T267" s="67"/>
      <c r="U267" s="67"/>
      <c r="V267" s="67"/>
      <c r="W267" s="67"/>
    </row>
    <row r="268" spans="1:23">
      <c r="A268" s="68" t="s">
        <v>325</v>
      </c>
      <c r="B268" s="68">
        <v>12</v>
      </c>
      <c r="C268" s="184"/>
      <c r="D268" s="69">
        <f t="shared" ref="D268:J268" si="73">$B$268*$C$268*D124</f>
        <v>0</v>
      </c>
      <c r="E268" s="69">
        <f t="shared" si="73"/>
        <v>0</v>
      </c>
      <c r="F268" s="69">
        <f t="shared" si="73"/>
        <v>0</v>
      </c>
      <c r="G268" s="69">
        <f t="shared" si="73"/>
        <v>0</v>
      </c>
      <c r="H268" s="69">
        <f t="shared" si="73"/>
        <v>0</v>
      </c>
      <c r="I268" s="69">
        <f t="shared" si="73"/>
        <v>0</v>
      </c>
      <c r="J268" s="69">
        <f t="shared" si="73"/>
        <v>0</v>
      </c>
      <c r="K268" s="67"/>
      <c r="L268" s="67"/>
      <c r="M268" s="67"/>
      <c r="N268" s="67"/>
      <c r="O268" s="67"/>
      <c r="P268" s="67"/>
      <c r="Q268" s="67"/>
      <c r="R268" s="67"/>
      <c r="S268" s="67"/>
      <c r="T268" s="67"/>
      <c r="U268" s="67"/>
      <c r="V268" s="67"/>
      <c r="W268" s="67"/>
    </row>
    <row r="269" spans="1:23">
      <c r="A269" s="68"/>
      <c r="B269" s="68"/>
      <c r="C269" s="184"/>
      <c r="D269" s="69"/>
      <c r="E269" s="69"/>
      <c r="F269" s="69"/>
      <c r="G269" s="69"/>
      <c r="H269" s="69"/>
      <c r="I269" s="69"/>
      <c r="J269" s="69"/>
      <c r="K269" s="67"/>
      <c r="L269" s="67"/>
      <c r="M269" s="67"/>
      <c r="N269" s="67"/>
      <c r="O269" s="67"/>
      <c r="P269" s="67"/>
      <c r="Q269" s="67"/>
      <c r="R269" s="67"/>
      <c r="S269" s="67"/>
      <c r="T269" s="67"/>
      <c r="U269" s="67"/>
      <c r="V269" s="67"/>
      <c r="W269" s="67"/>
    </row>
    <row r="270" spans="1:23">
      <c r="A270" s="68"/>
      <c r="B270" s="68"/>
      <c r="C270" s="184"/>
      <c r="D270" s="69"/>
      <c r="E270" s="69"/>
      <c r="F270" s="69"/>
      <c r="G270" s="69"/>
      <c r="H270" s="69"/>
      <c r="I270" s="69"/>
      <c r="J270" s="69"/>
      <c r="K270" s="67"/>
      <c r="L270" s="67"/>
      <c r="M270" s="67"/>
      <c r="N270" s="67"/>
      <c r="O270" s="67"/>
      <c r="P270" s="67"/>
      <c r="Q270" s="67"/>
      <c r="R270" s="67"/>
      <c r="S270" s="67"/>
      <c r="T270" s="67"/>
      <c r="U270" s="67"/>
      <c r="V270" s="67"/>
      <c r="W270" s="67"/>
    </row>
    <row r="271" spans="1:23">
      <c r="A271" s="68"/>
      <c r="B271" s="68"/>
      <c r="C271" s="184"/>
      <c r="D271" s="69"/>
      <c r="E271" s="69"/>
      <c r="F271" s="69"/>
      <c r="G271" s="69"/>
      <c r="H271" s="69"/>
      <c r="I271" s="69"/>
      <c r="J271" s="69"/>
      <c r="K271" s="67"/>
      <c r="L271" s="67"/>
      <c r="M271" s="67"/>
      <c r="N271" s="67"/>
      <c r="O271" s="67"/>
      <c r="P271" s="67"/>
      <c r="Q271" s="67"/>
      <c r="R271" s="67"/>
      <c r="S271" s="67"/>
      <c r="T271" s="67"/>
      <c r="U271" s="67"/>
      <c r="V271" s="67"/>
      <c r="W271" s="67"/>
    </row>
    <row r="272" spans="1:23">
      <c r="A272" s="68"/>
      <c r="B272" s="68"/>
      <c r="C272" s="184"/>
      <c r="D272" s="69"/>
      <c r="E272" s="69"/>
      <c r="F272" s="69"/>
      <c r="G272" s="69"/>
      <c r="H272" s="69"/>
      <c r="I272" s="69"/>
      <c r="J272" s="69"/>
      <c r="K272" s="67"/>
      <c r="L272" s="67"/>
      <c r="M272" s="67"/>
      <c r="N272" s="67"/>
      <c r="O272" s="67"/>
      <c r="P272" s="67"/>
      <c r="Q272" s="67"/>
      <c r="R272" s="67"/>
      <c r="S272" s="67"/>
      <c r="T272" s="67"/>
      <c r="U272" s="67"/>
      <c r="V272" s="67"/>
      <c r="W272" s="67"/>
    </row>
    <row r="273" spans="1:23">
      <c r="A273" s="70" t="s">
        <v>322</v>
      </c>
      <c r="B273" s="70"/>
      <c r="C273" s="84"/>
      <c r="D273" s="84">
        <f>SUM(D265:D272)</f>
        <v>0</v>
      </c>
      <c r="E273" s="84">
        <f t="shared" ref="E273:J273" si="74">SUM(E265:E272)</f>
        <v>0</v>
      </c>
      <c r="F273" s="84">
        <f t="shared" si="74"/>
        <v>0</v>
      </c>
      <c r="G273" s="84">
        <f t="shared" si="74"/>
        <v>0</v>
      </c>
      <c r="H273" s="84">
        <f t="shared" si="74"/>
        <v>0</v>
      </c>
      <c r="I273" s="84">
        <f t="shared" si="74"/>
        <v>0</v>
      </c>
      <c r="J273" s="84">
        <f t="shared" si="74"/>
        <v>0</v>
      </c>
      <c r="K273" s="67"/>
      <c r="L273" s="67"/>
      <c r="M273" s="67"/>
      <c r="N273" s="67"/>
      <c r="O273" s="67"/>
      <c r="P273" s="67"/>
      <c r="Q273" s="67"/>
      <c r="R273" s="67"/>
      <c r="S273" s="67"/>
      <c r="T273" s="67"/>
      <c r="U273" s="67"/>
      <c r="V273" s="67"/>
      <c r="W273" s="67"/>
    </row>
    <row r="274" spans="1:23">
      <c r="A274" s="153" t="s">
        <v>136</v>
      </c>
      <c r="B274" s="153"/>
      <c r="C274" s="161"/>
      <c r="D274" s="84">
        <f t="shared" ref="D274:J274" si="75">D262+D273</f>
        <v>0</v>
      </c>
      <c r="E274" s="84">
        <f t="shared" si="75"/>
        <v>0</v>
      </c>
      <c r="F274" s="84">
        <f t="shared" si="75"/>
        <v>0</v>
      </c>
      <c r="G274" s="84">
        <f t="shared" si="75"/>
        <v>0</v>
      </c>
      <c r="H274" s="84">
        <f t="shared" si="75"/>
        <v>0</v>
      </c>
      <c r="I274" s="84">
        <f t="shared" si="75"/>
        <v>0</v>
      </c>
      <c r="J274" s="84">
        <f t="shared" si="75"/>
        <v>0</v>
      </c>
      <c r="K274" s="67"/>
      <c r="L274" s="67"/>
      <c r="M274" s="67"/>
      <c r="N274" s="67"/>
      <c r="O274" s="67"/>
      <c r="P274" s="67"/>
      <c r="Q274" s="67"/>
      <c r="R274" s="67"/>
      <c r="S274" s="67"/>
      <c r="T274" s="67"/>
      <c r="U274" s="67"/>
      <c r="V274" s="67"/>
      <c r="W274" s="67"/>
    </row>
    <row r="275" spans="1:23">
      <c r="A275" s="68"/>
      <c r="B275" s="68"/>
      <c r="C275" s="69"/>
      <c r="D275" s="69"/>
      <c r="E275" s="69"/>
      <c r="F275" s="69"/>
      <c r="G275" s="69"/>
      <c r="H275" s="69"/>
      <c r="I275" s="69"/>
      <c r="J275" s="69"/>
      <c r="K275" s="67"/>
      <c r="L275" s="67"/>
      <c r="M275" s="67"/>
      <c r="N275" s="67"/>
      <c r="O275" s="67"/>
      <c r="P275" s="67"/>
      <c r="Q275" s="67"/>
      <c r="R275" s="67"/>
      <c r="S275" s="67"/>
      <c r="T275" s="67"/>
      <c r="U275" s="67"/>
      <c r="V275" s="67"/>
      <c r="W275" s="67"/>
    </row>
    <row r="276" spans="1:23">
      <c r="A276" s="153" t="s">
        <v>7</v>
      </c>
      <c r="B276" s="153"/>
      <c r="C276" s="161"/>
      <c r="D276" s="84">
        <f t="shared" ref="D276:J276" si="76">D191-D274</f>
        <v>0</v>
      </c>
      <c r="E276" s="84">
        <f t="shared" si="76"/>
        <v>0</v>
      </c>
      <c r="F276" s="84">
        <f t="shared" si="76"/>
        <v>0</v>
      </c>
      <c r="G276" s="84">
        <f t="shared" si="76"/>
        <v>0</v>
      </c>
      <c r="H276" s="84">
        <f t="shared" si="76"/>
        <v>0</v>
      </c>
      <c r="I276" s="84">
        <f t="shared" si="76"/>
        <v>0</v>
      </c>
      <c r="J276" s="84">
        <f t="shared" si="76"/>
        <v>0</v>
      </c>
      <c r="K276" s="67"/>
      <c r="L276" s="67"/>
      <c r="M276" s="67"/>
      <c r="N276" s="67"/>
      <c r="O276" s="67"/>
      <c r="P276" s="67"/>
      <c r="Q276" s="67"/>
      <c r="R276" s="67"/>
      <c r="S276" s="67"/>
      <c r="T276" s="67"/>
      <c r="U276" s="67"/>
      <c r="V276" s="67"/>
      <c r="W276" s="67"/>
    </row>
    <row r="277" spans="1:23">
      <c r="A277" s="85"/>
      <c r="B277" s="85"/>
      <c r="C277" s="85"/>
      <c r="D277" s="67"/>
      <c r="E277" s="67"/>
      <c r="F277" s="67"/>
      <c r="G277" s="67"/>
      <c r="H277" s="67"/>
      <c r="I277" s="67"/>
      <c r="J277" s="67"/>
      <c r="K277" s="67"/>
      <c r="L277" s="67"/>
      <c r="M277" s="67"/>
      <c r="N277" s="67"/>
      <c r="O277" s="67"/>
      <c r="P277" s="67"/>
      <c r="Q277" s="67"/>
      <c r="R277" s="67"/>
      <c r="S277" s="67"/>
      <c r="T277" s="67"/>
      <c r="U277" s="67"/>
      <c r="V277" s="67"/>
      <c r="W277" s="67"/>
    </row>
    <row r="278" spans="1:23">
      <c r="A278" s="67"/>
      <c r="B278" s="67"/>
      <c r="C278" s="67"/>
      <c r="D278" s="67"/>
      <c r="E278" s="67"/>
      <c r="F278" s="67"/>
      <c r="G278" s="67"/>
      <c r="H278" s="67"/>
      <c r="I278" s="67"/>
      <c r="J278" s="67"/>
      <c r="K278" s="67"/>
      <c r="L278" s="67"/>
      <c r="M278" s="67"/>
      <c r="N278" s="67"/>
      <c r="O278" s="67"/>
      <c r="P278" s="67"/>
      <c r="Q278" s="67"/>
      <c r="R278" s="67"/>
      <c r="S278" s="67"/>
      <c r="T278" s="67"/>
      <c r="U278" s="67"/>
      <c r="V278" s="67"/>
      <c r="W278" s="67"/>
    </row>
    <row r="279" spans="1:23">
      <c r="A279" s="384" t="s">
        <v>412</v>
      </c>
      <c r="B279" s="384"/>
      <c r="C279" s="384"/>
      <c r="D279" s="384"/>
      <c r="E279" s="384"/>
      <c r="F279" s="384"/>
      <c r="G279" s="384"/>
      <c r="H279" s="384"/>
      <c r="I279" s="384"/>
      <c r="J279" s="384"/>
    </row>
    <row r="281" spans="1:23">
      <c r="A281" t="s">
        <v>508</v>
      </c>
    </row>
    <row r="282" spans="1:23">
      <c r="A282">
        <v>1</v>
      </c>
      <c r="B282" t="s">
        <v>521</v>
      </c>
    </row>
    <row r="283" spans="1:23">
      <c r="A283">
        <v>2</v>
      </c>
      <c r="B283" t="s">
        <v>522</v>
      </c>
    </row>
    <row r="284" spans="1:23">
      <c r="A284">
        <v>3</v>
      </c>
      <c r="B284" s="67" t="s">
        <v>569</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89"/>
  <sheetViews>
    <sheetView view="pageBreakPreview" topLeftCell="A154" zoomScale="80" zoomScaleSheetLayoutView="80" workbookViewId="0">
      <selection activeCell="H134" sqref="H134"/>
    </sheetView>
  </sheetViews>
  <sheetFormatPr defaultRowHeight="15"/>
  <cols>
    <col min="1" max="1" width="29.7109375" customWidth="1"/>
    <col min="2" max="2" width="10.140625" customWidth="1"/>
    <col min="3" max="3" width="10.28515625" customWidth="1"/>
    <col min="4" max="4" width="13" customWidth="1"/>
    <col min="5" max="5" width="14.7109375" customWidth="1"/>
    <col min="6" max="6" width="14.5703125" customWidth="1"/>
    <col min="7" max="8" width="17.28515625" customWidth="1"/>
    <col min="9" max="10" width="16.7109375" bestFit="1" customWidth="1"/>
  </cols>
  <sheetData>
    <row r="3" spans="1:8" ht="18.75">
      <c r="A3" s="381" t="s">
        <v>565</v>
      </c>
      <c r="B3" s="381"/>
      <c r="C3" s="381"/>
      <c r="D3" s="381"/>
      <c r="E3" s="381"/>
      <c r="F3" s="381"/>
      <c r="G3" s="381"/>
      <c r="H3" s="381"/>
    </row>
    <row r="4" spans="1:8" ht="18.75">
      <c r="A4" s="381" t="s">
        <v>566</v>
      </c>
      <c r="B4" s="381"/>
      <c r="C4" s="381"/>
      <c r="D4" s="381"/>
      <c r="E4" s="381"/>
      <c r="F4" s="381"/>
      <c r="G4" s="381"/>
      <c r="H4" s="381"/>
    </row>
    <row r="5" spans="1:8">
      <c r="A5" s="67" t="s">
        <v>162</v>
      </c>
      <c r="B5" s="309">
        <v>1</v>
      </c>
      <c r="C5" s="67" t="s">
        <v>466</v>
      </c>
      <c r="D5" s="67"/>
      <c r="E5" s="67"/>
      <c r="F5" s="67"/>
      <c r="G5" s="67"/>
      <c r="H5" s="67"/>
    </row>
    <row r="6" spans="1:8">
      <c r="A6" s="67" t="s">
        <v>163</v>
      </c>
      <c r="B6" s="309">
        <v>8</v>
      </c>
      <c r="C6" s="67"/>
      <c r="D6" s="67"/>
      <c r="E6" s="67"/>
      <c r="F6" s="67"/>
      <c r="G6" s="67"/>
      <c r="H6" s="67"/>
    </row>
    <row r="7" spans="1:8">
      <c r="A7" s="67"/>
      <c r="B7" s="309"/>
      <c r="C7" s="67"/>
      <c r="D7" s="67"/>
      <c r="E7" s="67"/>
      <c r="F7" s="67"/>
      <c r="G7" s="67"/>
      <c r="H7" s="67"/>
    </row>
    <row r="8" spans="1:8">
      <c r="A8" s="67"/>
      <c r="B8" s="309"/>
      <c r="C8" s="67"/>
      <c r="D8" s="67"/>
      <c r="E8" s="67"/>
      <c r="F8" s="67"/>
      <c r="G8" s="67"/>
      <c r="H8" s="67"/>
    </row>
    <row r="9" spans="1:8">
      <c r="A9" s="67"/>
      <c r="B9" s="67"/>
      <c r="C9" s="67"/>
      <c r="D9" s="67"/>
      <c r="E9" s="67"/>
      <c r="F9" s="67"/>
      <c r="G9" s="67"/>
      <c r="H9" s="67"/>
    </row>
    <row r="10" spans="1:8">
      <c r="A10" s="67" t="s">
        <v>721</v>
      </c>
      <c r="B10" s="146">
        <f>AVERAGE(B12:H12)</f>
        <v>220.5</v>
      </c>
      <c r="C10" s="67"/>
      <c r="D10" s="67"/>
      <c r="E10" s="67"/>
      <c r="F10" s="67"/>
      <c r="G10" s="67"/>
      <c r="H10" s="67"/>
    </row>
    <row r="11" spans="1:8">
      <c r="A11" s="315" t="s">
        <v>0</v>
      </c>
      <c r="B11" s="316" t="s">
        <v>2</v>
      </c>
      <c r="C11" s="316" t="s">
        <v>3</v>
      </c>
      <c r="D11" s="316" t="s">
        <v>4</v>
      </c>
      <c r="E11" s="316" t="s">
        <v>5</v>
      </c>
      <c r="F11" s="316" t="s">
        <v>6</v>
      </c>
      <c r="G11" s="316" t="s">
        <v>169</v>
      </c>
      <c r="H11" s="316" t="s">
        <v>168</v>
      </c>
    </row>
    <row r="12" spans="1:8">
      <c r="A12" s="68" t="s">
        <v>170</v>
      </c>
      <c r="B12" s="219">
        <f t="shared" ref="B12:H12" si="0">B34/($B$5*$B$6)</f>
        <v>126</v>
      </c>
      <c r="C12" s="219">
        <f t="shared" si="0"/>
        <v>157.5</v>
      </c>
      <c r="D12" s="219">
        <f t="shared" si="0"/>
        <v>189</v>
      </c>
      <c r="E12" s="219">
        <f t="shared" si="0"/>
        <v>220.5</v>
      </c>
      <c r="F12" s="219">
        <f t="shared" si="0"/>
        <v>252</v>
      </c>
      <c r="G12" s="219">
        <f t="shared" si="0"/>
        <v>283.5</v>
      </c>
      <c r="H12" s="219">
        <f t="shared" si="0"/>
        <v>315.00000000000006</v>
      </c>
    </row>
    <row r="13" spans="1:8">
      <c r="A13" s="68" t="e">
        <f>'11.F&amp;V Crop Production details'!#REF!</f>
        <v>#REF!</v>
      </c>
      <c r="B13" s="68">
        <f>'11.F&amp;V Crop Production details'!B102</f>
        <v>1008</v>
      </c>
      <c r="C13" s="68">
        <f>'11.F&amp;V Crop Production details'!C102</f>
        <v>1260</v>
      </c>
      <c r="D13" s="68">
        <f>'11.F&amp;V Crop Production details'!D102</f>
        <v>1512</v>
      </c>
      <c r="E13" s="68">
        <f>'11.F&amp;V Crop Production details'!E102</f>
        <v>1764</v>
      </c>
      <c r="F13" s="68">
        <f>'11.F&amp;V Crop Production details'!F102</f>
        <v>2016</v>
      </c>
      <c r="G13" s="68">
        <f>'11.F&amp;V Crop Production details'!G102</f>
        <v>2268</v>
      </c>
      <c r="H13" s="68">
        <f>'11.F&amp;V Crop Production details'!H102</f>
        <v>2520.0000000000005</v>
      </c>
    </row>
    <row r="14" spans="1:8" hidden="1">
      <c r="A14" s="68"/>
      <c r="B14" s="68"/>
      <c r="C14" s="68"/>
      <c r="D14" s="68"/>
      <c r="E14" s="68"/>
      <c r="F14" s="68"/>
      <c r="G14" s="68"/>
      <c r="H14" s="68"/>
    </row>
    <row r="15" spans="1:8" hidden="1">
      <c r="A15" s="68"/>
      <c r="B15" s="68"/>
      <c r="C15" s="68"/>
      <c r="D15" s="68"/>
      <c r="E15" s="68"/>
      <c r="F15" s="68"/>
      <c r="G15" s="68"/>
      <c r="H15" s="68"/>
    </row>
    <row r="16" spans="1:8" hidden="1">
      <c r="A16" s="68">
        <f>'11.F&amp;V Crop Production details'!A75</f>
        <v>0</v>
      </c>
      <c r="B16" s="68">
        <f>'11.F&amp;V Crop Production details'!B75</f>
        <v>0</v>
      </c>
      <c r="C16" s="68">
        <f>'11.F&amp;V Crop Production details'!C75</f>
        <v>0</v>
      </c>
      <c r="D16" s="68">
        <f>'11.F&amp;V Crop Production details'!D75</f>
        <v>0</v>
      </c>
      <c r="E16" s="68">
        <f>'11.F&amp;V Crop Production details'!E75</f>
        <v>0</v>
      </c>
      <c r="F16" s="68">
        <f>'11.F&amp;V Crop Production details'!F75</f>
        <v>0</v>
      </c>
      <c r="G16" s="68">
        <f>'11.F&amp;V Crop Production details'!G75</f>
        <v>0</v>
      </c>
      <c r="H16" s="68">
        <f>'11.F&amp;V Crop Production details'!H75</f>
        <v>0</v>
      </c>
    </row>
    <row r="17" spans="1:8" hidden="1">
      <c r="A17" s="68">
        <f>'11.F&amp;V Crop Production details'!A76</f>
        <v>0</v>
      </c>
      <c r="B17" s="68">
        <f>'11.F&amp;V Crop Production details'!B76</f>
        <v>0</v>
      </c>
      <c r="C17" s="68">
        <f>'11.F&amp;V Crop Production details'!C76</f>
        <v>0</v>
      </c>
      <c r="D17" s="68">
        <f>'11.F&amp;V Crop Production details'!D76</f>
        <v>0</v>
      </c>
      <c r="E17" s="68">
        <f>'11.F&amp;V Crop Production details'!E76</f>
        <v>0</v>
      </c>
      <c r="F17" s="68">
        <f>'11.F&amp;V Crop Production details'!F76</f>
        <v>0</v>
      </c>
      <c r="G17" s="68">
        <f>'11.F&amp;V Crop Production details'!G76</f>
        <v>0</v>
      </c>
      <c r="H17" s="68">
        <f>'11.F&amp;V Crop Production details'!H76</f>
        <v>0</v>
      </c>
    </row>
    <row r="18" spans="1:8" hidden="1">
      <c r="A18" s="68">
        <f>'11.F&amp;V Crop Production details'!A77</f>
        <v>0</v>
      </c>
      <c r="B18" s="68">
        <f>'11.F&amp;V Crop Production details'!B77</f>
        <v>0</v>
      </c>
      <c r="C18" s="68">
        <f>'11.F&amp;V Crop Production details'!C77</f>
        <v>0</v>
      </c>
      <c r="D18" s="68">
        <f>'11.F&amp;V Crop Production details'!D77</f>
        <v>0</v>
      </c>
      <c r="E18" s="68">
        <f>'11.F&amp;V Crop Production details'!E77</f>
        <v>0</v>
      </c>
      <c r="F18" s="68">
        <f>'11.F&amp;V Crop Production details'!F77</f>
        <v>0</v>
      </c>
      <c r="G18" s="68">
        <f>'11.F&amp;V Crop Production details'!G77</f>
        <v>0</v>
      </c>
      <c r="H18" s="68">
        <f>'11.F&amp;V Crop Production details'!H77</f>
        <v>0</v>
      </c>
    </row>
    <row r="19" spans="1:8" hidden="1">
      <c r="A19" s="68">
        <f>'11.F&amp;V Crop Production details'!A78</f>
        <v>0</v>
      </c>
      <c r="B19" s="68">
        <f>'11.F&amp;V Crop Production details'!B78</f>
        <v>0</v>
      </c>
      <c r="C19" s="68">
        <f>'11.F&amp;V Crop Production details'!C78</f>
        <v>0</v>
      </c>
      <c r="D19" s="68">
        <f>'11.F&amp;V Crop Production details'!D78</f>
        <v>0</v>
      </c>
      <c r="E19" s="68">
        <f>'11.F&amp;V Crop Production details'!E78</f>
        <v>0</v>
      </c>
      <c r="F19" s="68">
        <f>'11.F&amp;V Crop Production details'!F78</f>
        <v>0</v>
      </c>
      <c r="G19" s="68">
        <f>'11.F&amp;V Crop Production details'!G78</f>
        <v>0</v>
      </c>
      <c r="H19" s="68">
        <f>'11.F&amp;V Crop Production details'!H78</f>
        <v>0</v>
      </c>
    </row>
    <row r="20" spans="1:8" hidden="1">
      <c r="A20" s="68">
        <f>'11.F&amp;V Crop Production details'!A79</f>
        <v>0</v>
      </c>
      <c r="B20" s="68">
        <f>'11.F&amp;V Crop Production details'!B79</f>
        <v>0</v>
      </c>
      <c r="C20" s="68">
        <f>'11.F&amp;V Crop Production details'!C79</f>
        <v>0</v>
      </c>
      <c r="D20" s="68">
        <f>'11.F&amp;V Crop Production details'!D79</f>
        <v>0</v>
      </c>
      <c r="E20" s="68">
        <f>'11.F&amp;V Crop Production details'!E79</f>
        <v>0</v>
      </c>
      <c r="F20" s="68">
        <f>'11.F&amp;V Crop Production details'!F79</f>
        <v>0</v>
      </c>
      <c r="G20" s="68">
        <f>'11.F&amp;V Crop Production details'!G79</f>
        <v>0</v>
      </c>
      <c r="H20" s="68">
        <f>'11.F&amp;V Crop Production details'!H79</f>
        <v>0</v>
      </c>
    </row>
    <row r="21" spans="1:8" hidden="1">
      <c r="A21" s="68">
        <f>'11.F&amp;V Crop Production details'!A80</f>
        <v>0</v>
      </c>
      <c r="B21" s="68">
        <f>'11.F&amp;V Crop Production details'!B80</f>
        <v>0</v>
      </c>
      <c r="C21" s="68">
        <f>'11.F&amp;V Crop Production details'!C80</f>
        <v>0</v>
      </c>
      <c r="D21" s="68">
        <f>'11.F&amp;V Crop Production details'!D80</f>
        <v>0</v>
      </c>
      <c r="E21" s="68">
        <f>'11.F&amp;V Crop Production details'!E80</f>
        <v>0</v>
      </c>
      <c r="F21" s="68">
        <f>'11.F&amp;V Crop Production details'!F80</f>
        <v>0</v>
      </c>
      <c r="G21" s="68">
        <f>'11.F&amp;V Crop Production details'!G80</f>
        <v>0</v>
      </c>
      <c r="H21" s="68">
        <f>'11.F&amp;V Crop Production details'!H80</f>
        <v>0</v>
      </c>
    </row>
    <row r="22" spans="1:8" hidden="1">
      <c r="A22" s="68">
        <f>'11.F&amp;V Crop Production details'!A81</f>
        <v>0</v>
      </c>
      <c r="B22" s="68">
        <f>'11.F&amp;V Crop Production details'!B81</f>
        <v>0</v>
      </c>
      <c r="C22" s="68">
        <f>'11.F&amp;V Crop Production details'!C81</f>
        <v>0</v>
      </c>
      <c r="D22" s="68">
        <f>'11.F&amp;V Crop Production details'!D81</f>
        <v>0</v>
      </c>
      <c r="E22" s="68">
        <f>'11.F&amp;V Crop Production details'!E81</f>
        <v>0</v>
      </c>
      <c r="F22" s="68">
        <f>'11.F&amp;V Crop Production details'!F81</f>
        <v>0</v>
      </c>
      <c r="G22" s="68">
        <f>'11.F&amp;V Crop Production details'!G81</f>
        <v>0</v>
      </c>
      <c r="H22" s="68">
        <f>'11.F&amp;V Crop Production details'!H81</f>
        <v>0</v>
      </c>
    </row>
    <row r="23" spans="1:8" hidden="1">
      <c r="A23" s="68">
        <f>'11.F&amp;V Crop Production details'!A82</f>
        <v>0</v>
      </c>
      <c r="B23" s="68">
        <f>'11.F&amp;V Crop Production details'!B82</f>
        <v>0</v>
      </c>
      <c r="C23" s="68">
        <f>'11.F&amp;V Crop Production details'!C82</f>
        <v>0</v>
      </c>
      <c r="D23" s="68">
        <f>'11.F&amp;V Crop Production details'!D82</f>
        <v>0</v>
      </c>
      <c r="E23" s="68">
        <f>'11.F&amp;V Crop Production details'!E82</f>
        <v>0</v>
      </c>
      <c r="F23" s="68">
        <f>'11.F&amp;V Crop Production details'!F82</f>
        <v>0</v>
      </c>
      <c r="G23" s="68">
        <f>'11.F&amp;V Crop Production details'!G82</f>
        <v>0</v>
      </c>
      <c r="H23" s="68">
        <f>'11.F&amp;V Crop Production details'!H82</f>
        <v>0</v>
      </c>
    </row>
    <row r="24" spans="1:8" hidden="1">
      <c r="A24" s="68">
        <f>'11.F&amp;V Crop Production details'!A83</f>
        <v>0</v>
      </c>
      <c r="B24" s="68">
        <f>'11.F&amp;V Crop Production details'!B83</f>
        <v>0</v>
      </c>
      <c r="C24" s="68">
        <f>'11.F&amp;V Crop Production details'!C83</f>
        <v>0</v>
      </c>
      <c r="D24" s="68">
        <f>'11.F&amp;V Crop Production details'!D83</f>
        <v>0</v>
      </c>
      <c r="E24" s="68">
        <f>'11.F&amp;V Crop Production details'!E83</f>
        <v>0</v>
      </c>
      <c r="F24" s="68">
        <f>'11.F&amp;V Crop Production details'!F83</f>
        <v>0</v>
      </c>
      <c r="G24" s="68">
        <f>'11.F&amp;V Crop Production details'!G83</f>
        <v>0</v>
      </c>
      <c r="H24" s="68">
        <f>'11.F&amp;V Crop Production details'!H83</f>
        <v>0</v>
      </c>
    </row>
    <row r="25" spans="1:8" hidden="1">
      <c r="A25" s="68">
        <f>'11.F&amp;V Crop Production details'!A84</f>
        <v>0</v>
      </c>
      <c r="B25" s="68">
        <f>'11.F&amp;V Crop Production details'!B84</f>
        <v>0</v>
      </c>
      <c r="C25" s="68">
        <f>'11.F&amp;V Crop Production details'!C84</f>
        <v>0</v>
      </c>
      <c r="D25" s="68">
        <f>'11.F&amp;V Crop Production details'!D84</f>
        <v>0</v>
      </c>
      <c r="E25" s="68">
        <f>'11.F&amp;V Crop Production details'!E84</f>
        <v>0</v>
      </c>
      <c r="F25" s="68">
        <f>'11.F&amp;V Crop Production details'!F84</f>
        <v>0</v>
      </c>
      <c r="G25" s="68">
        <f>'11.F&amp;V Crop Production details'!G84</f>
        <v>0</v>
      </c>
      <c r="H25" s="68">
        <f>'11.F&amp;V Crop Production details'!H84</f>
        <v>0</v>
      </c>
    </row>
    <row r="26" spans="1:8" hidden="1">
      <c r="A26" s="68">
        <f>'11.F&amp;V Crop Production details'!A85</f>
        <v>0</v>
      </c>
      <c r="B26" s="68">
        <f>'11.F&amp;V Crop Production details'!B85</f>
        <v>0</v>
      </c>
      <c r="C26" s="68">
        <f>'11.F&amp;V Crop Production details'!C85</f>
        <v>0</v>
      </c>
      <c r="D26" s="68">
        <f>'11.F&amp;V Crop Production details'!D85</f>
        <v>0</v>
      </c>
      <c r="E26" s="68">
        <f>'11.F&amp;V Crop Production details'!E85</f>
        <v>0</v>
      </c>
      <c r="F26" s="68">
        <f>'11.F&amp;V Crop Production details'!F85</f>
        <v>0</v>
      </c>
      <c r="G26" s="68">
        <f>'11.F&amp;V Crop Production details'!G85</f>
        <v>0</v>
      </c>
      <c r="H26" s="68">
        <f>'11.F&amp;V Crop Production details'!H85</f>
        <v>0</v>
      </c>
    </row>
    <row r="27" spans="1:8" hidden="1">
      <c r="A27" s="68">
        <f>'11.F&amp;V Crop Production details'!A86</f>
        <v>0</v>
      </c>
      <c r="B27" s="68">
        <f>'11.F&amp;V Crop Production details'!B86</f>
        <v>0</v>
      </c>
      <c r="C27" s="68">
        <f>'11.F&amp;V Crop Production details'!C86</f>
        <v>0</v>
      </c>
      <c r="D27" s="68">
        <f>'11.F&amp;V Crop Production details'!D86</f>
        <v>0</v>
      </c>
      <c r="E27" s="68">
        <f>'11.F&amp;V Crop Production details'!E86</f>
        <v>0</v>
      </c>
      <c r="F27" s="68">
        <f>'11.F&amp;V Crop Production details'!F86</f>
        <v>0</v>
      </c>
      <c r="G27" s="68">
        <f>'11.F&amp;V Crop Production details'!G86</f>
        <v>0</v>
      </c>
      <c r="H27" s="68">
        <f>'11.F&amp;V Crop Production details'!H86</f>
        <v>0</v>
      </c>
    </row>
    <row r="28" spans="1:8" hidden="1">
      <c r="A28" s="68">
        <f>'11.F&amp;V Crop Production details'!A87</f>
        <v>0</v>
      </c>
      <c r="B28" s="68">
        <f>'11.F&amp;V Crop Production details'!B87</f>
        <v>0</v>
      </c>
      <c r="C28" s="68">
        <f>'11.F&amp;V Crop Production details'!C87</f>
        <v>0</v>
      </c>
      <c r="D28" s="68">
        <f>'11.F&amp;V Crop Production details'!D87</f>
        <v>0</v>
      </c>
      <c r="E28" s="68">
        <f>'11.F&amp;V Crop Production details'!E87</f>
        <v>0</v>
      </c>
      <c r="F28" s="68">
        <f>'11.F&amp;V Crop Production details'!F87</f>
        <v>0</v>
      </c>
      <c r="G28" s="68">
        <f>'11.F&amp;V Crop Production details'!G87</f>
        <v>0</v>
      </c>
      <c r="H28" s="68">
        <f>'11.F&amp;V Crop Production details'!H87</f>
        <v>0</v>
      </c>
    </row>
    <row r="29" spans="1:8" hidden="1">
      <c r="A29" s="68">
        <f>'11.F&amp;V Crop Production details'!A88</f>
        <v>0</v>
      </c>
      <c r="B29" s="68">
        <f>'11.F&amp;V Crop Production details'!B88</f>
        <v>0</v>
      </c>
      <c r="C29" s="68">
        <f>'11.F&amp;V Crop Production details'!C88</f>
        <v>0</v>
      </c>
      <c r="D29" s="68">
        <f>'11.F&amp;V Crop Production details'!D88</f>
        <v>0</v>
      </c>
      <c r="E29" s="68">
        <f>'11.F&amp;V Crop Production details'!E88</f>
        <v>0</v>
      </c>
      <c r="F29" s="68">
        <f>'11.F&amp;V Crop Production details'!F88</f>
        <v>0</v>
      </c>
      <c r="G29" s="68">
        <f>'11.F&amp;V Crop Production details'!G88</f>
        <v>0</v>
      </c>
      <c r="H29" s="68">
        <f>'11.F&amp;V Crop Production details'!H88</f>
        <v>0</v>
      </c>
    </row>
    <row r="30" spans="1:8" hidden="1">
      <c r="A30" s="68">
        <f>'11.F&amp;V Crop Production details'!A89</f>
        <v>0</v>
      </c>
      <c r="B30" s="68">
        <f>'11.F&amp;V Crop Production details'!B89</f>
        <v>0</v>
      </c>
      <c r="C30" s="68">
        <f>'11.F&amp;V Crop Production details'!C89</f>
        <v>0</v>
      </c>
      <c r="D30" s="68">
        <f>'11.F&amp;V Crop Production details'!D89</f>
        <v>0</v>
      </c>
      <c r="E30" s="68">
        <f>'11.F&amp;V Crop Production details'!E89</f>
        <v>0</v>
      </c>
      <c r="F30" s="68">
        <f>'11.F&amp;V Crop Production details'!F89</f>
        <v>0</v>
      </c>
      <c r="G30" s="68">
        <f>'11.F&amp;V Crop Production details'!G89</f>
        <v>0</v>
      </c>
      <c r="H30" s="68">
        <f>'11.F&amp;V Crop Production details'!H89</f>
        <v>0</v>
      </c>
    </row>
    <row r="31" spans="1:8" hidden="1">
      <c r="A31" s="68">
        <f>'11.F&amp;V Crop Production details'!A90</f>
        <v>0</v>
      </c>
      <c r="B31" s="68">
        <f>'11.F&amp;V Crop Production details'!B90</f>
        <v>0</v>
      </c>
      <c r="C31" s="68">
        <f>'11.F&amp;V Crop Production details'!C90</f>
        <v>0</v>
      </c>
      <c r="D31" s="68">
        <f>'11.F&amp;V Crop Production details'!D90</f>
        <v>0</v>
      </c>
      <c r="E31" s="68">
        <f>'11.F&amp;V Crop Production details'!E90</f>
        <v>0</v>
      </c>
      <c r="F31" s="68">
        <f>'11.F&amp;V Crop Production details'!F90</f>
        <v>0</v>
      </c>
      <c r="G31" s="68">
        <f>'11.F&amp;V Crop Production details'!G90</f>
        <v>0</v>
      </c>
      <c r="H31" s="68">
        <f>'11.F&amp;V Crop Production details'!H90</f>
        <v>0</v>
      </c>
    </row>
    <row r="32" spans="1:8" hidden="1">
      <c r="A32" s="68">
        <f>'11.F&amp;V Crop Production details'!A91</f>
        <v>0</v>
      </c>
      <c r="B32" s="68">
        <f>'11.F&amp;V Crop Production details'!B91</f>
        <v>0</v>
      </c>
      <c r="C32" s="68">
        <f>'11.F&amp;V Crop Production details'!C91</f>
        <v>0</v>
      </c>
      <c r="D32" s="68">
        <f>'11.F&amp;V Crop Production details'!D91</f>
        <v>0</v>
      </c>
      <c r="E32" s="68">
        <f>'11.F&amp;V Crop Production details'!E91</f>
        <v>0</v>
      </c>
      <c r="F32" s="68">
        <f>'11.F&amp;V Crop Production details'!F91</f>
        <v>0</v>
      </c>
      <c r="G32" s="68">
        <f>'11.F&amp;V Crop Production details'!G91</f>
        <v>0</v>
      </c>
      <c r="H32" s="68">
        <f>'11.F&amp;V Crop Production details'!H91</f>
        <v>0</v>
      </c>
    </row>
    <row r="33" spans="1:8">
      <c r="A33" s="68"/>
      <c r="B33" s="68"/>
      <c r="C33" s="68"/>
      <c r="D33" s="68"/>
      <c r="E33" s="68"/>
      <c r="F33" s="68"/>
      <c r="G33" s="68"/>
      <c r="H33" s="68"/>
    </row>
    <row r="34" spans="1:8">
      <c r="A34" s="68" t="s">
        <v>457</v>
      </c>
      <c r="B34" s="68">
        <f t="shared" ref="B34:H34" si="1">SUM(B13:B32)</f>
        <v>1008</v>
      </c>
      <c r="C34" s="68">
        <f t="shared" si="1"/>
        <v>1260</v>
      </c>
      <c r="D34" s="68">
        <f t="shared" si="1"/>
        <v>1512</v>
      </c>
      <c r="E34" s="68">
        <f t="shared" si="1"/>
        <v>1764</v>
      </c>
      <c r="F34" s="68">
        <f t="shared" si="1"/>
        <v>2016</v>
      </c>
      <c r="G34" s="68">
        <f t="shared" si="1"/>
        <v>2268</v>
      </c>
      <c r="H34" s="68">
        <f t="shared" si="1"/>
        <v>2520.0000000000005</v>
      </c>
    </row>
    <row r="35" spans="1:8">
      <c r="A35" s="288" t="s">
        <v>166</v>
      </c>
      <c r="B35" s="314">
        <v>0</v>
      </c>
      <c r="C35" s="314">
        <f>B35</f>
        <v>0</v>
      </c>
      <c r="D35" s="314">
        <f t="shared" ref="D35:H35" si="2">C35</f>
        <v>0</v>
      </c>
      <c r="E35" s="314">
        <f t="shared" si="2"/>
        <v>0</v>
      </c>
      <c r="F35" s="314">
        <f t="shared" si="2"/>
        <v>0</v>
      </c>
      <c r="G35" s="314">
        <f t="shared" si="2"/>
        <v>0</v>
      </c>
      <c r="H35" s="314">
        <f t="shared" si="2"/>
        <v>0</v>
      </c>
    </row>
    <row r="36" spans="1:8" ht="30">
      <c r="A36" s="351" t="s">
        <v>467</v>
      </c>
      <c r="B36" s="314">
        <f>1-B35</f>
        <v>1</v>
      </c>
      <c r="C36" s="314">
        <f t="shared" ref="C36:H36" si="3">1-C35</f>
        <v>1</v>
      </c>
      <c r="D36" s="314">
        <f t="shared" si="3"/>
        <v>1</v>
      </c>
      <c r="E36" s="314">
        <f t="shared" si="3"/>
        <v>1</v>
      </c>
      <c r="F36" s="314">
        <f t="shared" si="3"/>
        <v>1</v>
      </c>
      <c r="G36" s="314">
        <f t="shared" si="3"/>
        <v>1</v>
      </c>
      <c r="H36" s="314">
        <f t="shared" si="3"/>
        <v>1</v>
      </c>
    </row>
    <row r="37" spans="1:8">
      <c r="A37" s="291" t="s">
        <v>731</v>
      </c>
      <c r="B37" s="347">
        <f>B34*B35</f>
        <v>0</v>
      </c>
      <c r="C37" s="347">
        <f t="shared" ref="C37:H37" si="4">C34*C35</f>
        <v>0</v>
      </c>
      <c r="D37" s="347">
        <f t="shared" si="4"/>
        <v>0</v>
      </c>
      <c r="E37" s="347">
        <f t="shared" si="4"/>
        <v>0</v>
      </c>
      <c r="F37" s="347">
        <f t="shared" si="4"/>
        <v>0</v>
      </c>
      <c r="G37" s="347">
        <f t="shared" si="4"/>
        <v>0</v>
      </c>
      <c r="H37" s="347">
        <f t="shared" si="4"/>
        <v>0</v>
      </c>
    </row>
    <row r="38" spans="1:8">
      <c r="A38" s="291" t="s">
        <v>733</v>
      </c>
      <c r="B38" s="347"/>
      <c r="C38" s="347"/>
      <c r="D38" s="347"/>
      <c r="E38" s="347"/>
      <c r="F38" s="347"/>
      <c r="G38" s="347"/>
      <c r="H38" s="347"/>
    </row>
    <row r="39" spans="1:8">
      <c r="A39" s="68" t="e">
        <f t="shared" ref="A39:A56" si="5">A13</f>
        <v>#REF!</v>
      </c>
      <c r="B39" s="69">
        <f t="shared" ref="B39:B56" si="6">B13*$B$36</f>
        <v>1008</v>
      </c>
      <c r="C39" s="69">
        <f t="shared" ref="C39:C56" si="7">C13*$C$36</f>
        <v>1260</v>
      </c>
      <c r="D39" s="69">
        <f t="shared" ref="D39:D56" si="8">D13*$D$36</f>
        <v>1512</v>
      </c>
      <c r="E39" s="69">
        <f t="shared" ref="E39:E56" si="9">E13*$E$36</f>
        <v>1764</v>
      </c>
      <c r="F39" s="69">
        <f t="shared" ref="F39:F56" si="10">F13*$F$36</f>
        <v>2016</v>
      </c>
      <c r="G39" s="69">
        <f t="shared" ref="G39:G56" si="11">G13*$G$36</f>
        <v>2268</v>
      </c>
      <c r="H39" s="69">
        <f t="shared" ref="H39:H56" si="12">H13*$H$36</f>
        <v>2520.0000000000005</v>
      </c>
    </row>
    <row r="40" spans="1:8" hidden="1">
      <c r="A40" s="68">
        <f t="shared" si="5"/>
        <v>0</v>
      </c>
      <c r="B40" s="69">
        <f t="shared" si="6"/>
        <v>0</v>
      </c>
      <c r="C40" s="69">
        <f t="shared" si="7"/>
        <v>0</v>
      </c>
      <c r="D40" s="69">
        <f t="shared" si="8"/>
        <v>0</v>
      </c>
      <c r="E40" s="69">
        <f t="shared" si="9"/>
        <v>0</v>
      </c>
      <c r="F40" s="69">
        <f t="shared" si="10"/>
        <v>0</v>
      </c>
      <c r="G40" s="69">
        <f t="shared" si="11"/>
        <v>0</v>
      </c>
      <c r="H40" s="69">
        <f t="shared" si="12"/>
        <v>0</v>
      </c>
    </row>
    <row r="41" spans="1:8" hidden="1">
      <c r="A41" s="68">
        <f t="shared" si="5"/>
        <v>0</v>
      </c>
      <c r="B41" s="69">
        <f t="shared" si="6"/>
        <v>0</v>
      </c>
      <c r="C41" s="69">
        <f t="shared" si="7"/>
        <v>0</v>
      </c>
      <c r="D41" s="69">
        <f t="shared" si="8"/>
        <v>0</v>
      </c>
      <c r="E41" s="69">
        <f t="shared" si="9"/>
        <v>0</v>
      </c>
      <c r="F41" s="69">
        <f t="shared" si="10"/>
        <v>0</v>
      </c>
      <c r="G41" s="69">
        <f t="shared" si="11"/>
        <v>0</v>
      </c>
      <c r="H41" s="69">
        <f t="shared" si="12"/>
        <v>0</v>
      </c>
    </row>
    <row r="42" spans="1:8" hidden="1">
      <c r="A42" s="68">
        <f t="shared" si="5"/>
        <v>0</v>
      </c>
      <c r="B42" s="69">
        <f t="shared" si="6"/>
        <v>0</v>
      </c>
      <c r="C42" s="69">
        <f t="shared" si="7"/>
        <v>0</v>
      </c>
      <c r="D42" s="69">
        <f t="shared" si="8"/>
        <v>0</v>
      </c>
      <c r="E42" s="69">
        <f t="shared" si="9"/>
        <v>0</v>
      </c>
      <c r="F42" s="69">
        <f t="shared" si="10"/>
        <v>0</v>
      </c>
      <c r="G42" s="69">
        <f t="shared" si="11"/>
        <v>0</v>
      </c>
      <c r="H42" s="69">
        <f t="shared" si="12"/>
        <v>0</v>
      </c>
    </row>
    <row r="43" spans="1:8" hidden="1">
      <c r="A43" s="68">
        <f t="shared" si="5"/>
        <v>0</v>
      </c>
      <c r="B43" s="69">
        <f t="shared" si="6"/>
        <v>0</v>
      </c>
      <c r="C43" s="69">
        <f t="shared" si="7"/>
        <v>0</v>
      </c>
      <c r="D43" s="69">
        <f t="shared" si="8"/>
        <v>0</v>
      </c>
      <c r="E43" s="69">
        <f t="shared" si="9"/>
        <v>0</v>
      </c>
      <c r="F43" s="69">
        <f t="shared" si="10"/>
        <v>0</v>
      </c>
      <c r="G43" s="69">
        <f t="shared" si="11"/>
        <v>0</v>
      </c>
      <c r="H43" s="69">
        <f t="shared" si="12"/>
        <v>0</v>
      </c>
    </row>
    <row r="44" spans="1:8" hidden="1">
      <c r="A44" s="68">
        <f t="shared" si="5"/>
        <v>0</v>
      </c>
      <c r="B44" s="69">
        <f t="shared" si="6"/>
        <v>0</v>
      </c>
      <c r="C44" s="69">
        <f t="shared" si="7"/>
        <v>0</v>
      </c>
      <c r="D44" s="69">
        <f t="shared" si="8"/>
        <v>0</v>
      </c>
      <c r="E44" s="69">
        <f t="shared" si="9"/>
        <v>0</v>
      </c>
      <c r="F44" s="69">
        <f t="shared" si="10"/>
        <v>0</v>
      </c>
      <c r="G44" s="69">
        <f t="shared" si="11"/>
        <v>0</v>
      </c>
      <c r="H44" s="69">
        <f t="shared" si="12"/>
        <v>0</v>
      </c>
    </row>
    <row r="45" spans="1:8" hidden="1">
      <c r="A45" s="68">
        <f t="shared" si="5"/>
        <v>0</v>
      </c>
      <c r="B45" s="69">
        <f t="shared" si="6"/>
        <v>0</v>
      </c>
      <c r="C45" s="69">
        <f t="shared" si="7"/>
        <v>0</v>
      </c>
      <c r="D45" s="69">
        <f t="shared" si="8"/>
        <v>0</v>
      </c>
      <c r="E45" s="69">
        <f t="shared" si="9"/>
        <v>0</v>
      </c>
      <c r="F45" s="69">
        <f t="shared" si="10"/>
        <v>0</v>
      </c>
      <c r="G45" s="69">
        <f t="shared" si="11"/>
        <v>0</v>
      </c>
      <c r="H45" s="69">
        <f t="shared" si="12"/>
        <v>0</v>
      </c>
    </row>
    <row r="46" spans="1:8" hidden="1">
      <c r="A46" s="68">
        <f t="shared" si="5"/>
        <v>0</v>
      </c>
      <c r="B46" s="69">
        <f t="shared" si="6"/>
        <v>0</v>
      </c>
      <c r="C46" s="69">
        <f t="shared" si="7"/>
        <v>0</v>
      </c>
      <c r="D46" s="69">
        <f t="shared" si="8"/>
        <v>0</v>
      </c>
      <c r="E46" s="69">
        <f t="shared" si="9"/>
        <v>0</v>
      </c>
      <c r="F46" s="69">
        <f t="shared" si="10"/>
        <v>0</v>
      </c>
      <c r="G46" s="69">
        <f t="shared" si="11"/>
        <v>0</v>
      </c>
      <c r="H46" s="69">
        <f t="shared" si="12"/>
        <v>0</v>
      </c>
    </row>
    <row r="47" spans="1:8" hidden="1">
      <c r="A47" s="68">
        <f t="shared" si="5"/>
        <v>0</v>
      </c>
      <c r="B47" s="69">
        <f t="shared" si="6"/>
        <v>0</v>
      </c>
      <c r="C47" s="69">
        <f t="shared" si="7"/>
        <v>0</v>
      </c>
      <c r="D47" s="69">
        <f t="shared" si="8"/>
        <v>0</v>
      </c>
      <c r="E47" s="69">
        <f t="shared" si="9"/>
        <v>0</v>
      </c>
      <c r="F47" s="69">
        <f t="shared" si="10"/>
        <v>0</v>
      </c>
      <c r="G47" s="69">
        <f t="shared" si="11"/>
        <v>0</v>
      </c>
      <c r="H47" s="69">
        <f t="shared" si="12"/>
        <v>0</v>
      </c>
    </row>
    <row r="48" spans="1:8" hidden="1">
      <c r="A48" s="68">
        <f t="shared" si="5"/>
        <v>0</v>
      </c>
      <c r="B48" s="69">
        <f t="shared" si="6"/>
        <v>0</v>
      </c>
      <c r="C48" s="69">
        <f t="shared" si="7"/>
        <v>0</v>
      </c>
      <c r="D48" s="69">
        <f t="shared" si="8"/>
        <v>0</v>
      </c>
      <c r="E48" s="69">
        <f t="shared" si="9"/>
        <v>0</v>
      </c>
      <c r="F48" s="69">
        <f t="shared" si="10"/>
        <v>0</v>
      </c>
      <c r="G48" s="69">
        <f t="shared" si="11"/>
        <v>0</v>
      </c>
      <c r="H48" s="69">
        <f t="shared" si="12"/>
        <v>0</v>
      </c>
    </row>
    <row r="49" spans="1:8" hidden="1">
      <c r="A49" s="68">
        <f t="shared" si="5"/>
        <v>0</v>
      </c>
      <c r="B49" s="69">
        <f t="shared" si="6"/>
        <v>0</v>
      </c>
      <c r="C49" s="69">
        <f t="shared" si="7"/>
        <v>0</v>
      </c>
      <c r="D49" s="69">
        <f t="shared" si="8"/>
        <v>0</v>
      </c>
      <c r="E49" s="69">
        <f t="shared" si="9"/>
        <v>0</v>
      </c>
      <c r="F49" s="69">
        <f t="shared" si="10"/>
        <v>0</v>
      </c>
      <c r="G49" s="69">
        <f t="shared" si="11"/>
        <v>0</v>
      </c>
      <c r="H49" s="69">
        <f t="shared" si="12"/>
        <v>0</v>
      </c>
    </row>
    <row r="50" spans="1:8" hidden="1">
      <c r="A50" s="68">
        <f t="shared" si="5"/>
        <v>0</v>
      </c>
      <c r="B50" s="69">
        <f t="shared" si="6"/>
        <v>0</v>
      </c>
      <c r="C50" s="69">
        <f t="shared" si="7"/>
        <v>0</v>
      </c>
      <c r="D50" s="69">
        <f t="shared" si="8"/>
        <v>0</v>
      </c>
      <c r="E50" s="69">
        <f t="shared" si="9"/>
        <v>0</v>
      </c>
      <c r="F50" s="69">
        <f t="shared" si="10"/>
        <v>0</v>
      </c>
      <c r="G50" s="69">
        <f t="shared" si="11"/>
        <v>0</v>
      </c>
      <c r="H50" s="69">
        <f t="shared" si="12"/>
        <v>0</v>
      </c>
    </row>
    <row r="51" spans="1:8" hidden="1">
      <c r="A51" s="68">
        <f t="shared" si="5"/>
        <v>0</v>
      </c>
      <c r="B51" s="69">
        <f t="shared" si="6"/>
        <v>0</v>
      </c>
      <c r="C51" s="69">
        <f t="shared" si="7"/>
        <v>0</v>
      </c>
      <c r="D51" s="69">
        <f t="shared" si="8"/>
        <v>0</v>
      </c>
      <c r="E51" s="69">
        <f t="shared" si="9"/>
        <v>0</v>
      </c>
      <c r="F51" s="69">
        <f t="shared" si="10"/>
        <v>0</v>
      </c>
      <c r="G51" s="69">
        <f t="shared" si="11"/>
        <v>0</v>
      </c>
      <c r="H51" s="69">
        <f t="shared" si="12"/>
        <v>0</v>
      </c>
    </row>
    <row r="52" spans="1:8" hidden="1">
      <c r="A52" s="68">
        <f t="shared" si="5"/>
        <v>0</v>
      </c>
      <c r="B52" s="69">
        <f t="shared" si="6"/>
        <v>0</v>
      </c>
      <c r="C52" s="69">
        <f t="shared" si="7"/>
        <v>0</v>
      </c>
      <c r="D52" s="69">
        <f t="shared" si="8"/>
        <v>0</v>
      </c>
      <c r="E52" s="69">
        <f t="shared" si="9"/>
        <v>0</v>
      </c>
      <c r="F52" s="69">
        <f t="shared" si="10"/>
        <v>0</v>
      </c>
      <c r="G52" s="69">
        <f t="shared" si="11"/>
        <v>0</v>
      </c>
      <c r="H52" s="69">
        <f t="shared" si="12"/>
        <v>0</v>
      </c>
    </row>
    <row r="53" spans="1:8" hidden="1">
      <c r="A53" s="68">
        <f t="shared" si="5"/>
        <v>0</v>
      </c>
      <c r="B53" s="69">
        <f t="shared" si="6"/>
        <v>0</v>
      </c>
      <c r="C53" s="69">
        <f t="shared" si="7"/>
        <v>0</v>
      </c>
      <c r="D53" s="69">
        <f t="shared" si="8"/>
        <v>0</v>
      </c>
      <c r="E53" s="69">
        <f t="shared" si="9"/>
        <v>0</v>
      </c>
      <c r="F53" s="69">
        <f t="shared" si="10"/>
        <v>0</v>
      </c>
      <c r="G53" s="69">
        <f t="shared" si="11"/>
        <v>0</v>
      </c>
      <c r="H53" s="69">
        <f t="shared" si="12"/>
        <v>0</v>
      </c>
    </row>
    <row r="54" spans="1:8" hidden="1">
      <c r="A54" s="68">
        <f t="shared" si="5"/>
        <v>0</v>
      </c>
      <c r="B54" s="69">
        <f t="shared" si="6"/>
        <v>0</v>
      </c>
      <c r="C54" s="69">
        <f t="shared" si="7"/>
        <v>0</v>
      </c>
      <c r="D54" s="69">
        <f t="shared" si="8"/>
        <v>0</v>
      </c>
      <c r="E54" s="69">
        <f t="shared" si="9"/>
        <v>0</v>
      </c>
      <c r="F54" s="69">
        <f t="shared" si="10"/>
        <v>0</v>
      </c>
      <c r="G54" s="69">
        <f t="shared" si="11"/>
        <v>0</v>
      </c>
      <c r="H54" s="69">
        <f t="shared" si="12"/>
        <v>0</v>
      </c>
    </row>
    <row r="55" spans="1:8" hidden="1">
      <c r="A55" s="68">
        <f t="shared" si="5"/>
        <v>0</v>
      </c>
      <c r="B55" s="69">
        <f t="shared" si="6"/>
        <v>0</v>
      </c>
      <c r="C55" s="69">
        <f t="shared" si="7"/>
        <v>0</v>
      </c>
      <c r="D55" s="69">
        <f t="shared" si="8"/>
        <v>0</v>
      </c>
      <c r="E55" s="69">
        <f t="shared" si="9"/>
        <v>0</v>
      </c>
      <c r="F55" s="69">
        <f t="shared" si="10"/>
        <v>0</v>
      </c>
      <c r="G55" s="69">
        <f t="shared" si="11"/>
        <v>0</v>
      </c>
      <c r="H55" s="69">
        <f t="shared" si="12"/>
        <v>0</v>
      </c>
    </row>
    <row r="56" spans="1:8" hidden="1">
      <c r="A56" s="68">
        <f t="shared" si="5"/>
        <v>0</v>
      </c>
      <c r="B56" s="69">
        <f t="shared" si="6"/>
        <v>0</v>
      </c>
      <c r="C56" s="69">
        <f t="shared" si="7"/>
        <v>0</v>
      </c>
      <c r="D56" s="69">
        <f t="shared" si="8"/>
        <v>0</v>
      </c>
      <c r="E56" s="69">
        <f t="shared" si="9"/>
        <v>0</v>
      </c>
      <c r="F56" s="69">
        <f t="shared" si="10"/>
        <v>0</v>
      </c>
      <c r="G56" s="69">
        <f t="shared" si="11"/>
        <v>0</v>
      </c>
      <c r="H56" s="69">
        <f t="shared" si="12"/>
        <v>0</v>
      </c>
    </row>
    <row r="57" spans="1:8" hidden="1">
      <c r="A57" s="68" t="e">
        <f>#REF!</f>
        <v>#REF!</v>
      </c>
      <c r="B57" s="69" t="e">
        <f>#REF!*$B$36</f>
        <v>#REF!</v>
      </c>
      <c r="C57" s="69" t="e">
        <f>#REF!*$B$36</f>
        <v>#REF!</v>
      </c>
      <c r="D57" s="69" t="e">
        <f>#REF!*$B$36</f>
        <v>#REF!</v>
      </c>
      <c r="E57" s="69" t="e">
        <f>#REF!*$B$36</f>
        <v>#REF!</v>
      </c>
      <c r="F57" s="69" t="e">
        <f>#REF!*$B$36</f>
        <v>#REF!</v>
      </c>
      <c r="G57" s="69" t="e">
        <f>#REF!*$B$36</f>
        <v>#REF!</v>
      </c>
      <c r="H57" s="69" t="e">
        <f>#REF!*$B$36</f>
        <v>#REF!</v>
      </c>
    </row>
    <row r="58" spans="1:8" hidden="1">
      <c r="A58" s="68" t="e">
        <f>#REF!</f>
        <v>#REF!</v>
      </c>
      <c r="B58" s="69" t="e">
        <f>#REF!*$B$36</f>
        <v>#REF!</v>
      </c>
      <c r="C58" s="69" t="e">
        <f>#REF!*$B$36</f>
        <v>#REF!</v>
      </c>
      <c r="D58" s="69" t="e">
        <f>#REF!*$B$36</f>
        <v>#REF!</v>
      </c>
      <c r="E58" s="69" t="e">
        <f>#REF!*$B$36</f>
        <v>#REF!</v>
      </c>
      <c r="F58" s="69" t="e">
        <f>#REF!*$B$36</f>
        <v>#REF!</v>
      </c>
      <c r="G58" s="69" t="e">
        <f>#REF!*$B$36</f>
        <v>#REF!</v>
      </c>
      <c r="H58" s="69" t="e">
        <f>#REF!*$B$36</f>
        <v>#REF!</v>
      </c>
    </row>
    <row r="59" spans="1:8" hidden="1">
      <c r="A59" s="68" t="e">
        <f>#REF!</f>
        <v>#REF!</v>
      </c>
      <c r="B59" s="69" t="e">
        <f>#REF!*$B$36</f>
        <v>#REF!</v>
      </c>
      <c r="C59" s="69" t="e">
        <f>#REF!*$B$36</f>
        <v>#REF!</v>
      </c>
      <c r="D59" s="69" t="e">
        <f>#REF!*$B$36</f>
        <v>#REF!</v>
      </c>
      <c r="E59" s="69" t="e">
        <f>#REF!*$B$36</f>
        <v>#REF!</v>
      </c>
      <c r="F59" s="69" t="e">
        <f>#REF!*$B$36</f>
        <v>#REF!</v>
      </c>
      <c r="G59" s="69" t="e">
        <f>#REF!*$B$36</f>
        <v>#REF!</v>
      </c>
      <c r="H59" s="69" t="e">
        <f>#REF!*$B$36</f>
        <v>#REF!</v>
      </c>
    </row>
    <row r="60" spans="1:8" hidden="1">
      <c r="A60" s="68" t="e">
        <f>#REF!</f>
        <v>#REF!</v>
      </c>
      <c r="B60" s="69" t="e">
        <f>#REF!*$B$36</f>
        <v>#REF!</v>
      </c>
      <c r="C60" s="69" t="e">
        <f>#REF!*$B$36</f>
        <v>#REF!</v>
      </c>
      <c r="D60" s="69" t="e">
        <f>#REF!*$B$36</f>
        <v>#REF!</v>
      </c>
      <c r="E60" s="69" t="e">
        <f>#REF!*$B$36</f>
        <v>#REF!</v>
      </c>
      <c r="F60" s="69" t="e">
        <f>#REF!*$B$36</f>
        <v>#REF!</v>
      </c>
      <c r="G60" s="69" t="e">
        <f>#REF!*$B$36</f>
        <v>#REF!</v>
      </c>
      <c r="H60" s="69" t="e">
        <f>#REF!*$B$36</f>
        <v>#REF!</v>
      </c>
    </row>
    <row r="61" spans="1:8">
      <c r="A61" s="70" t="s">
        <v>727</v>
      </c>
      <c r="B61" s="68"/>
      <c r="C61" s="68"/>
      <c r="D61" s="68"/>
      <c r="E61" s="68"/>
      <c r="F61" s="68"/>
      <c r="G61" s="68"/>
      <c r="H61" s="68"/>
    </row>
    <row r="62" spans="1:8">
      <c r="A62" s="68" t="s">
        <v>720</v>
      </c>
      <c r="B62" s="148">
        <f>B39*30%</f>
        <v>302.39999999999998</v>
      </c>
      <c r="C62" s="148">
        <f t="shared" ref="C62:H62" si="13">C39*30%</f>
        <v>378</v>
      </c>
      <c r="D62" s="148">
        <f t="shared" si="13"/>
        <v>453.59999999999997</v>
      </c>
      <c r="E62" s="148">
        <f t="shared" si="13"/>
        <v>529.19999999999993</v>
      </c>
      <c r="F62" s="148">
        <f t="shared" si="13"/>
        <v>604.79999999999995</v>
      </c>
      <c r="G62" s="148">
        <f t="shared" si="13"/>
        <v>680.4</v>
      </c>
      <c r="H62" s="148">
        <f t="shared" si="13"/>
        <v>756.00000000000011</v>
      </c>
    </row>
    <row r="63" spans="1:8" hidden="1">
      <c r="A63" s="68"/>
      <c r="B63" s="148"/>
      <c r="C63" s="148"/>
      <c r="D63" s="148"/>
      <c r="E63" s="148"/>
      <c r="F63" s="148"/>
      <c r="G63" s="148"/>
      <c r="H63" s="148"/>
    </row>
    <row r="64" spans="1:8" hidden="1">
      <c r="A64" s="68"/>
      <c r="B64" s="148"/>
      <c r="C64" s="148"/>
      <c r="D64" s="148"/>
      <c r="E64" s="148"/>
      <c r="F64" s="148"/>
      <c r="G64" s="148"/>
      <c r="H64" s="148"/>
    </row>
    <row r="65" spans="1:8" hidden="1">
      <c r="A65" s="68"/>
      <c r="B65" s="148"/>
      <c r="C65" s="148"/>
      <c r="D65" s="148"/>
      <c r="E65" s="148"/>
      <c r="F65" s="148"/>
      <c r="G65" s="148"/>
      <c r="H65" s="148"/>
    </row>
    <row r="66" spans="1:8" hidden="1">
      <c r="A66" s="68">
        <f>A40</f>
        <v>0</v>
      </c>
      <c r="B66" s="69"/>
      <c r="C66" s="69"/>
      <c r="D66" s="69"/>
      <c r="E66" s="69"/>
      <c r="F66" s="69"/>
      <c r="G66" s="69"/>
      <c r="H66" s="69"/>
    </row>
    <row r="67" spans="1:8" hidden="1">
      <c r="A67" s="68"/>
      <c r="B67" s="69"/>
      <c r="C67" s="69"/>
      <c r="D67" s="69"/>
      <c r="E67" s="69"/>
      <c r="F67" s="69"/>
      <c r="G67" s="69"/>
      <c r="H67" s="69"/>
    </row>
    <row r="68" spans="1:8" hidden="1">
      <c r="A68" s="68"/>
      <c r="B68" s="69"/>
      <c r="C68" s="69"/>
      <c r="D68" s="69"/>
      <c r="E68" s="69"/>
      <c r="F68" s="69"/>
      <c r="G68" s="69"/>
      <c r="H68" s="69"/>
    </row>
    <row r="69" spans="1:8" hidden="1">
      <c r="A69" s="68"/>
      <c r="B69" s="69"/>
      <c r="C69" s="69"/>
      <c r="D69" s="69"/>
      <c r="E69" s="69"/>
      <c r="F69" s="69"/>
      <c r="G69" s="69"/>
      <c r="H69" s="69"/>
    </row>
    <row r="70" spans="1:8" hidden="1">
      <c r="A70" s="68">
        <f>A41</f>
        <v>0</v>
      </c>
      <c r="B70" s="69"/>
      <c r="C70" s="69"/>
      <c r="D70" s="69"/>
      <c r="E70" s="69"/>
      <c r="F70" s="69"/>
      <c r="G70" s="69"/>
      <c r="H70" s="69"/>
    </row>
    <row r="71" spans="1:8" hidden="1">
      <c r="A71" s="68"/>
      <c r="B71" s="69"/>
      <c r="C71" s="69"/>
      <c r="D71" s="69"/>
      <c r="E71" s="69"/>
      <c r="F71" s="69"/>
      <c r="G71" s="69"/>
      <c r="H71" s="69"/>
    </row>
    <row r="72" spans="1:8" hidden="1">
      <c r="A72" s="68"/>
      <c r="B72" s="69"/>
      <c r="C72" s="69"/>
      <c r="D72" s="69"/>
      <c r="E72" s="69"/>
      <c r="F72" s="69"/>
      <c r="G72" s="69"/>
      <c r="H72" s="69"/>
    </row>
    <row r="73" spans="1:8" hidden="1">
      <c r="A73" s="68"/>
      <c r="B73" s="69"/>
      <c r="C73" s="69"/>
      <c r="D73" s="69"/>
      <c r="E73" s="69"/>
      <c r="F73" s="69"/>
      <c r="G73" s="69"/>
      <c r="H73" s="69"/>
    </row>
    <row r="74" spans="1:8" hidden="1">
      <c r="A74" s="68">
        <f>A42</f>
        <v>0</v>
      </c>
      <c r="B74" s="69"/>
      <c r="C74" s="69"/>
      <c r="D74" s="69"/>
      <c r="E74" s="69"/>
      <c r="F74" s="69"/>
      <c r="G74" s="69"/>
      <c r="H74" s="69"/>
    </row>
    <row r="75" spans="1:8" hidden="1">
      <c r="A75" s="68"/>
      <c r="B75" s="69"/>
      <c r="C75" s="69"/>
      <c r="D75" s="69"/>
      <c r="E75" s="69"/>
      <c r="F75" s="69"/>
      <c r="G75" s="69"/>
      <c r="H75" s="69"/>
    </row>
    <row r="76" spans="1:8" hidden="1">
      <c r="A76" s="68"/>
      <c r="B76" s="69"/>
      <c r="C76" s="69"/>
      <c r="D76" s="69"/>
      <c r="E76" s="69"/>
      <c r="F76" s="69"/>
      <c r="G76" s="69"/>
      <c r="H76" s="69"/>
    </row>
    <row r="77" spans="1:8" hidden="1">
      <c r="A77" s="68"/>
      <c r="B77" s="69"/>
      <c r="C77" s="69"/>
      <c r="D77" s="69"/>
      <c r="E77" s="69"/>
      <c r="F77" s="69"/>
      <c r="G77" s="69"/>
      <c r="H77" s="69"/>
    </row>
    <row r="78" spans="1:8" hidden="1">
      <c r="A78" s="68">
        <f>A43</f>
        <v>0</v>
      </c>
      <c r="B78" s="69"/>
      <c r="C78" s="69"/>
      <c r="D78" s="69"/>
      <c r="E78" s="69"/>
      <c r="F78" s="69"/>
      <c r="G78" s="69"/>
      <c r="H78" s="69"/>
    </row>
    <row r="79" spans="1:8" hidden="1">
      <c r="A79" s="68"/>
      <c r="B79" s="69"/>
      <c r="C79" s="69"/>
      <c r="D79" s="69"/>
      <c r="E79" s="69"/>
      <c r="F79" s="69"/>
      <c r="G79" s="69"/>
      <c r="H79" s="69"/>
    </row>
    <row r="80" spans="1:8" hidden="1">
      <c r="A80" s="68"/>
      <c r="B80" s="69"/>
      <c r="C80" s="69"/>
      <c r="D80" s="69"/>
      <c r="E80" s="69"/>
      <c r="F80" s="69"/>
      <c r="G80" s="69"/>
      <c r="H80" s="69"/>
    </row>
    <row r="81" spans="1:8" hidden="1">
      <c r="A81" s="68"/>
      <c r="B81" s="69"/>
      <c r="C81" s="69"/>
      <c r="D81" s="69"/>
      <c r="E81" s="69"/>
      <c r="F81" s="69"/>
      <c r="G81" s="69"/>
      <c r="H81" s="69"/>
    </row>
    <row r="82" spans="1:8" hidden="1">
      <c r="A82" s="68">
        <f>A44</f>
        <v>0</v>
      </c>
      <c r="B82" s="69"/>
      <c r="C82" s="69"/>
      <c r="D82" s="69"/>
      <c r="E82" s="69"/>
      <c r="F82" s="69"/>
      <c r="G82" s="69"/>
      <c r="H82" s="69"/>
    </row>
    <row r="83" spans="1:8" hidden="1">
      <c r="A83" s="68"/>
      <c r="B83" s="69"/>
      <c r="C83" s="69"/>
      <c r="D83" s="69"/>
      <c r="E83" s="69"/>
      <c r="F83" s="69"/>
      <c r="G83" s="69"/>
      <c r="H83" s="69"/>
    </row>
    <row r="84" spans="1:8" hidden="1">
      <c r="A84" s="68"/>
      <c r="B84" s="69"/>
      <c r="C84" s="69"/>
      <c r="D84" s="69"/>
      <c r="E84" s="69"/>
      <c r="F84" s="69"/>
      <c r="G84" s="69"/>
      <c r="H84" s="69"/>
    </row>
    <row r="85" spans="1:8" hidden="1">
      <c r="A85" s="68"/>
      <c r="B85" s="69"/>
      <c r="C85" s="69"/>
      <c r="D85" s="69"/>
      <c r="E85" s="69"/>
      <c r="F85" s="69"/>
      <c r="G85" s="69"/>
      <c r="H85" s="69"/>
    </row>
    <row r="86" spans="1:8" hidden="1">
      <c r="A86" s="68">
        <f>A45</f>
        <v>0</v>
      </c>
      <c r="B86" s="69"/>
      <c r="C86" s="69"/>
      <c r="D86" s="69"/>
      <c r="E86" s="69"/>
      <c r="F86" s="69"/>
      <c r="G86" s="69"/>
      <c r="H86" s="69"/>
    </row>
    <row r="87" spans="1:8" hidden="1">
      <c r="A87" s="68"/>
      <c r="B87" s="69"/>
      <c r="C87" s="69"/>
      <c r="D87" s="69"/>
      <c r="E87" s="69"/>
      <c r="F87" s="69"/>
      <c r="G87" s="69"/>
      <c r="H87" s="69"/>
    </row>
    <row r="88" spans="1:8" hidden="1">
      <c r="A88" s="68"/>
      <c r="B88" s="69"/>
      <c r="C88" s="69"/>
      <c r="D88" s="69"/>
      <c r="E88" s="69"/>
      <c r="F88" s="69"/>
      <c r="G88" s="69"/>
      <c r="H88" s="69"/>
    </row>
    <row r="89" spans="1:8" hidden="1">
      <c r="A89" s="68">
        <f>A46</f>
        <v>0</v>
      </c>
      <c r="B89" s="69"/>
      <c r="C89" s="69"/>
      <c r="D89" s="69"/>
      <c r="E89" s="69"/>
      <c r="F89" s="69"/>
      <c r="G89" s="69"/>
      <c r="H89" s="69"/>
    </row>
    <row r="90" spans="1:8" hidden="1">
      <c r="A90" s="68"/>
      <c r="B90" s="69"/>
      <c r="C90" s="69"/>
      <c r="D90" s="69"/>
      <c r="E90" s="69"/>
      <c r="F90" s="69"/>
      <c r="G90" s="69"/>
      <c r="H90" s="69"/>
    </row>
    <row r="91" spans="1:8" hidden="1">
      <c r="A91" s="68"/>
      <c r="B91" s="69"/>
      <c r="C91" s="69"/>
      <c r="D91" s="69"/>
      <c r="E91" s="69"/>
      <c r="F91" s="69"/>
      <c r="G91" s="69"/>
      <c r="H91" s="69"/>
    </row>
    <row r="92" spans="1:8" hidden="1">
      <c r="A92" s="68"/>
      <c r="B92" s="69"/>
      <c r="C92" s="69"/>
      <c r="D92" s="69"/>
      <c r="E92" s="69"/>
      <c r="F92" s="69"/>
      <c r="G92" s="69"/>
      <c r="H92" s="69"/>
    </row>
    <row r="93" spans="1:8" hidden="1">
      <c r="A93" s="68">
        <f>A47</f>
        <v>0</v>
      </c>
      <c r="B93" s="69"/>
      <c r="C93" s="69"/>
      <c r="D93" s="69"/>
      <c r="E93" s="69"/>
      <c r="F93" s="69"/>
      <c r="G93" s="69"/>
      <c r="H93" s="69"/>
    </row>
    <row r="94" spans="1:8" hidden="1">
      <c r="A94" s="68"/>
      <c r="B94" s="69"/>
      <c r="C94" s="69"/>
      <c r="D94" s="69"/>
      <c r="E94" s="69"/>
      <c r="F94" s="69"/>
      <c r="G94" s="69"/>
      <c r="H94" s="69"/>
    </row>
    <row r="95" spans="1:8" hidden="1">
      <c r="A95" s="68"/>
      <c r="B95" s="69"/>
      <c r="C95" s="69"/>
      <c r="D95" s="69"/>
      <c r="E95" s="69"/>
      <c r="F95" s="69"/>
      <c r="G95" s="69"/>
      <c r="H95" s="69"/>
    </row>
    <row r="96" spans="1:8" hidden="1">
      <c r="A96" s="68"/>
      <c r="B96" s="69"/>
      <c r="C96" s="69"/>
      <c r="D96" s="69"/>
      <c r="E96" s="69"/>
      <c r="F96" s="69"/>
      <c r="G96" s="69"/>
      <c r="H96" s="69"/>
    </row>
    <row r="97" spans="1:8" hidden="1">
      <c r="A97" s="68">
        <f>A48</f>
        <v>0</v>
      </c>
      <c r="B97" s="69"/>
      <c r="C97" s="69"/>
      <c r="D97" s="69"/>
      <c r="E97" s="69"/>
      <c r="F97" s="69"/>
      <c r="G97" s="69"/>
      <c r="H97" s="69"/>
    </row>
    <row r="98" spans="1:8" hidden="1">
      <c r="A98" s="68"/>
      <c r="B98" s="69"/>
      <c r="C98" s="69"/>
      <c r="D98" s="69"/>
      <c r="E98" s="69"/>
      <c r="F98" s="69"/>
      <c r="G98" s="69"/>
      <c r="H98" s="69"/>
    </row>
    <row r="99" spans="1:8" hidden="1">
      <c r="A99" s="68"/>
      <c r="B99" s="69"/>
      <c r="C99" s="69"/>
      <c r="D99" s="69"/>
      <c r="E99" s="69"/>
      <c r="F99" s="69"/>
      <c r="G99" s="69"/>
      <c r="H99" s="69"/>
    </row>
    <row r="100" spans="1:8" hidden="1">
      <c r="A100" s="68"/>
      <c r="B100" s="69"/>
      <c r="C100" s="69"/>
      <c r="D100" s="69"/>
      <c r="E100" s="69"/>
      <c r="F100" s="69"/>
      <c r="G100" s="69"/>
      <c r="H100" s="69"/>
    </row>
    <row r="101" spans="1:8" hidden="1">
      <c r="A101" s="68">
        <f>A49</f>
        <v>0</v>
      </c>
      <c r="B101" s="69"/>
      <c r="C101" s="69"/>
      <c r="D101" s="69"/>
      <c r="E101" s="69"/>
      <c r="F101" s="69"/>
      <c r="G101" s="69"/>
      <c r="H101" s="69"/>
    </row>
    <row r="102" spans="1:8" hidden="1">
      <c r="A102" s="68"/>
      <c r="B102" s="69"/>
      <c r="C102" s="69"/>
      <c r="D102" s="69"/>
      <c r="E102" s="69"/>
      <c r="F102" s="69"/>
      <c r="G102" s="69"/>
      <c r="H102" s="69"/>
    </row>
    <row r="103" spans="1:8" hidden="1">
      <c r="A103" s="68"/>
      <c r="B103" s="69"/>
      <c r="C103" s="69"/>
      <c r="D103" s="69"/>
      <c r="E103" s="69"/>
      <c r="F103" s="69"/>
      <c r="G103" s="69"/>
      <c r="H103" s="69"/>
    </row>
    <row r="104" spans="1:8" hidden="1">
      <c r="A104" s="68"/>
      <c r="B104" s="69"/>
      <c r="C104" s="69"/>
      <c r="D104" s="69"/>
      <c r="E104" s="69"/>
      <c r="F104" s="69"/>
      <c r="G104" s="69"/>
      <c r="H104" s="69"/>
    </row>
    <row r="105" spans="1:8" hidden="1">
      <c r="A105" s="68">
        <f>A50</f>
        <v>0</v>
      </c>
      <c r="B105" s="69"/>
      <c r="C105" s="69"/>
      <c r="D105" s="69"/>
      <c r="E105" s="69"/>
      <c r="F105" s="69"/>
      <c r="G105" s="69"/>
      <c r="H105" s="69"/>
    </row>
    <row r="106" spans="1:8" hidden="1">
      <c r="A106" s="68"/>
      <c r="B106" s="69"/>
      <c r="C106" s="69"/>
      <c r="D106" s="69"/>
      <c r="E106" s="69"/>
      <c r="F106" s="69"/>
      <c r="G106" s="69"/>
      <c r="H106" s="69"/>
    </row>
    <row r="107" spans="1:8" hidden="1">
      <c r="A107" s="68"/>
      <c r="B107" s="69"/>
      <c r="C107" s="69"/>
      <c r="D107" s="69"/>
      <c r="E107" s="69"/>
      <c r="F107" s="69"/>
      <c r="G107" s="69"/>
      <c r="H107" s="69"/>
    </row>
    <row r="108" spans="1:8" hidden="1">
      <c r="A108" s="68"/>
      <c r="B108" s="69"/>
      <c r="C108" s="69"/>
      <c r="D108" s="69"/>
      <c r="E108" s="69"/>
      <c r="F108" s="69"/>
      <c r="G108" s="69"/>
      <c r="H108" s="69"/>
    </row>
    <row r="109" spans="1:8" hidden="1">
      <c r="A109" s="68">
        <f>A51</f>
        <v>0</v>
      </c>
      <c r="B109" s="69"/>
      <c r="C109" s="69"/>
      <c r="D109" s="69"/>
      <c r="E109" s="69"/>
      <c r="F109" s="69"/>
      <c r="G109" s="69"/>
      <c r="H109" s="69"/>
    </row>
    <row r="110" spans="1:8" hidden="1">
      <c r="A110" s="68"/>
      <c r="B110" s="69"/>
      <c r="C110" s="69"/>
      <c r="D110" s="69"/>
      <c r="E110" s="69"/>
      <c r="F110" s="69"/>
      <c r="G110" s="69"/>
      <c r="H110" s="69"/>
    </row>
    <row r="111" spans="1:8" hidden="1">
      <c r="A111" s="68"/>
      <c r="B111" s="69"/>
      <c r="C111" s="69"/>
      <c r="D111" s="69"/>
      <c r="E111" s="69"/>
      <c r="F111" s="69"/>
      <c r="G111" s="69"/>
      <c r="H111" s="69"/>
    </row>
    <row r="112" spans="1:8" hidden="1">
      <c r="A112" s="68"/>
      <c r="B112" s="69"/>
      <c r="C112" s="69"/>
      <c r="D112" s="69"/>
      <c r="E112" s="69"/>
      <c r="F112" s="69"/>
      <c r="G112" s="69"/>
      <c r="H112" s="69"/>
    </row>
    <row r="113" spans="1:8" hidden="1">
      <c r="A113" s="70">
        <f t="shared" ref="A113:A118" si="14">A52</f>
        <v>0</v>
      </c>
      <c r="B113" s="69"/>
      <c r="C113" s="69"/>
      <c r="D113" s="69"/>
      <c r="E113" s="69"/>
      <c r="F113" s="69"/>
      <c r="G113" s="69"/>
      <c r="H113" s="69"/>
    </row>
    <row r="114" spans="1:8" hidden="1">
      <c r="A114" s="68">
        <f t="shared" si="14"/>
        <v>0</v>
      </c>
      <c r="B114" s="69"/>
      <c r="C114" s="69"/>
      <c r="D114" s="69"/>
      <c r="E114" s="69"/>
      <c r="F114" s="69"/>
      <c r="G114" s="69"/>
      <c r="H114" s="69"/>
    </row>
    <row r="115" spans="1:8" hidden="1">
      <c r="A115" s="68">
        <f t="shared" si="14"/>
        <v>0</v>
      </c>
      <c r="B115" s="69"/>
      <c r="C115" s="69"/>
      <c r="D115" s="69"/>
      <c r="E115" s="69"/>
      <c r="F115" s="69"/>
      <c r="G115" s="69"/>
      <c r="H115" s="69"/>
    </row>
    <row r="116" spans="1:8" hidden="1">
      <c r="A116" s="68">
        <f t="shared" si="14"/>
        <v>0</v>
      </c>
      <c r="B116" s="69"/>
      <c r="C116" s="69"/>
      <c r="D116" s="69"/>
      <c r="E116" s="69"/>
      <c r="F116" s="69"/>
      <c r="G116" s="69"/>
      <c r="H116" s="69"/>
    </row>
    <row r="117" spans="1:8" hidden="1">
      <c r="A117" s="68">
        <f t="shared" si="14"/>
        <v>0</v>
      </c>
      <c r="B117" s="69"/>
      <c r="C117" s="69"/>
      <c r="D117" s="69"/>
      <c r="E117" s="69"/>
      <c r="F117" s="69"/>
      <c r="G117" s="69"/>
      <c r="H117" s="69"/>
    </row>
    <row r="118" spans="1:8" hidden="1">
      <c r="A118" s="70" t="e">
        <f t="shared" si="14"/>
        <v>#REF!</v>
      </c>
      <c r="B118" s="69"/>
      <c r="C118" s="69"/>
      <c r="D118" s="69"/>
      <c r="E118" s="69"/>
      <c r="F118" s="69"/>
      <c r="G118" s="69"/>
      <c r="H118" s="69"/>
    </row>
    <row r="119" spans="1:8" hidden="1">
      <c r="A119" s="68" t="s">
        <v>500</v>
      </c>
      <c r="B119" s="69" t="e">
        <f>(B$57*50%)*0.7</f>
        <v>#REF!</v>
      </c>
      <c r="C119" s="69" t="e">
        <f>(C$57*50%)*0.7</f>
        <v>#REF!</v>
      </c>
      <c r="D119" s="69" t="e">
        <f t="shared" ref="D119:H121" si="15">(D$57*50%)*0.7</f>
        <v>#REF!</v>
      </c>
      <c r="E119" s="69" t="e">
        <f t="shared" si="15"/>
        <v>#REF!</v>
      </c>
      <c r="F119" s="69" t="e">
        <f t="shared" si="15"/>
        <v>#REF!</v>
      </c>
      <c r="G119" s="69" t="e">
        <f t="shared" si="15"/>
        <v>#REF!</v>
      </c>
      <c r="H119" s="69" t="e">
        <f t="shared" si="15"/>
        <v>#REF!</v>
      </c>
    </row>
    <row r="120" spans="1:8" hidden="1">
      <c r="A120" s="68" t="s">
        <v>498</v>
      </c>
      <c r="B120" s="69" t="e">
        <f>(B$57*50%)*0.7*2</f>
        <v>#REF!</v>
      </c>
      <c r="C120" s="69" t="e">
        <f>(C$57*50%)*0.7</f>
        <v>#REF!</v>
      </c>
      <c r="D120" s="69" t="e">
        <f t="shared" si="15"/>
        <v>#REF!</v>
      </c>
      <c r="E120" s="69" t="e">
        <f t="shared" si="15"/>
        <v>#REF!</v>
      </c>
      <c r="F120" s="69" t="e">
        <f t="shared" si="15"/>
        <v>#REF!</v>
      </c>
      <c r="G120" s="69" t="e">
        <f t="shared" si="15"/>
        <v>#REF!</v>
      </c>
      <c r="H120" s="69" t="e">
        <f t="shared" si="15"/>
        <v>#REF!</v>
      </c>
    </row>
    <row r="121" spans="1:8" hidden="1">
      <c r="A121" s="68" t="s">
        <v>499</v>
      </c>
      <c r="B121" s="69" t="e">
        <f>(B$57*0.3)*0.2</f>
        <v>#REF!</v>
      </c>
      <c r="C121" s="69" t="e">
        <f>(C$57*50%)*0.7</f>
        <v>#REF!</v>
      </c>
      <c r="D121" s="69" t="e">
        <f t="shared" si="15"/>
        <v>#REF!</v>
      </c>
      <c r="E121" s="69" t="e">
        <f t="shared" si="15"/>
        <v>#REF!</v>
      </c>
      <c r="F121" s="69" t="e">
        <f t="shared" si="15"/>
        <v>#REF!</v>
      </c>
      <c r="G121" s="69" t="e">
        <f t="shared" si="15"/>
        <v>#REF!</v>
      </c>
      <c r="H121" s="69" t="e">
        <f t="shared" si="15"/>
        <v>#REF!</v>
      </c>
    </row>
    <row r="122" spans="1:8" hidden="1">
      <c r="A122" s="68" t="e">
        <f t="shared" ref="A122" si="16">A58</f>
        <v>#REF!</v>
      </c>
      <c r="B122" s="69"/>
      <c r="C122" s="69"/>
      <c r="D122" s="69"/>
      <c r="E122" s="69"/>
      <c r="F122" s="69"/>
      <c r="G122" s="69"/>
      <c r="H122" s="69"/>
    </row>
    <row r="123" spans="1:8" hidden="1">
      <c r="A123" s="68"/>
      <c r="B123" s="69"/>
      <c r="C123" s="69"/>
      <c r="D123" s="69"/>
      <c r="E123" s="69"/>
      <c r="F123" s="69"/>
      <c r="G123" s="69"/>
      <c r="H123" s="69"/>
    </row>
    <row r="124" spans="1:8" hidden="1">
      <c r="A124" s="68"/>
      <c r="B124" s="69"/>
      <c r="C124" s="69"/>
      <c r="D124" s="69"/>
      <c r="E124" s="69"/>
      <c r="F124" s="69"/>
      <c r="G124" s="69"/>
      <c r="H124" s="69"/>
    </row>
    <row r="125" spans="1:8" hidden="1">
      <c r="A125" s="68"/>
      <c r="B125" s="69"/>
      <c r="C125" s="69"/>
      <c r="D125" s="69"/>
      <c r="E125" s="69"/>
      <c r="F125" s="69"/>
      <c r="G125" s="69"/>
      <c r="H125" s="69"/>
    </row>
    <row r="126" spans="1:8" hidden="1">
      <c r="A126" s="68" t="e">
        <f>A59</f>
        <v>#REF!</v>
      </c>
      <c r="B126" s="69"/>
      <c r="C126" s="69"/>
      <c r="D126" s="69"/>
      <c r="E126" s="69"/>
      <c r="F126" s="69"/>
      <c r="G126" s="69"/>
      <c r="H126" s="69"/>
    </row>
    <row r="127" spans="1:8" hidden="1">
      <c r="A127" s="68"/>
      <c r="B127" s="69"/>
      <c r="C127" s="69"/>
      <c r="D127" s="69"/>
      <c r="E127" s="69"/>
      <c r="F127" s="69"/>
      <c r="G127" s="69"/>
      <c r="H127" s="69"/>
    </row>
    <row r="128" spans="1:8" hidden="1">
      <c r="A128" s="68"/>
      <c r="B128" s="69"/>
      <c r="C128" s="69"/>
      <c r="D128" s="69"/>
      <c r="E128" s="69"/>
      <c r="F128" s="69"/>
      <c r="G128" s="69"/>
      <c r="H128" s="69"/>
    </row>
    <row r="129" spans="1:10" hidden="1">
      <c r="A129" s="68"/>
      <c r="B129" s="69"/>
      <c r="C129" s="69"/>
      <c r="D129" s="69"/>
      <c r="E129" s="69"/>
      <c r="F129" s="69"/>
      <c r="G129" s="69"/>
      <c r="H129" s="69"/>
    </row>
    <row r="130" spans="1:10" hidden="1">
      <c r="A130" s="68" t="e">
        <f>A60</f>
        <v>#REF!</v>
      </c>
      <c r="B130" s="69"/>
      <c r="C130" s="69"/>
      <c r="D130" s="69"/>
      <c r="E130" s="69"/>
      <c r="F130" s="69"/>
      <c r="G130" s="69"/>
      <c r="H130" s="69"/>
    </row>
    <row r="131" spans="1:10" hidden="1">
      <c r="A131" s="68"/>
      <c r="B131" s="69"/>
      <c r="C131" s="69"/>
      <c r="D131" s="69"/>
      <c r="E131" s="69"/>
      <c r="F131" s="69"/>
      <c r="G131" s="69"/>
      <c r="H131" s="69"/>
    </row>
    <row r="132" spans="1:10" hidden="1">
      <c r="A132" s="68"/>
      <c r="B132" s="69"/>
      <c r="C132" s="69"/>
      <c r="D132" s="69"/>
      <c r="E132" s="69"/>
      <c r="F132" s="69"/>
      <c r="G132" s="69"/>
      <c r="H132" s="69"/>
    </row>
    <row r="133" spans="1:10" hidden="1">
      <c r="A133" s="68"/>
      <c r="B133" s="69"/>
      <c r="C133" s="69"/>
      <c r="D133" s="69"/>
      <c r="E133" s="69"/>
      <c r="F133" s="69"/>
      <c r="G133" s="69"/>
      <c r="H133" s="69"/>
    </row>
    <row r="134" spans="1:10">
      <c r="A134" s="67"/>
      <c r="B134" s="214"/>
      <c r="C134" s="214"/>
      <c r="D134" s="214"/>
      <c r="E134" s="214"/>
      <c r="F134" s="214"/>
      <c r="G134" s="214"/>
      <c r="H134" s="214"/>
    </row>
    <row r="135" spans="1:10">
      <c r="A135" s="67" t="s">
        <v>444</v>
      </c>
    </row>
    <row r="136" spans="1:10">
      <c r="A136" t="s">
        <v>734</v>
      </c>
      <c r="B136" s="20">
        <f>(B62*100)</f>
        <v>30239.999999999996</v>
      </c>
      <c r="C136" s="20">
        <f t="shared" ref="C136:H136" si="17">(C62*100)</f>
        <v>37800</v>
      </c>
      <c r="D136" s="20">
        <f t="shared" si="17"/>
        <v>45360</v>
      </c>
      <c r="E136" s="20">
        <f t="shared" si="17"/>
        <v>52919.999999999993</v>
      </c>
      <c r="F136" s="20">
        <f t="shared" si="17"/>
        <v>60479.999999999993</v>
      </c>
      <c r="G136" s="20">
        <f t="shared" si="17"/>
        <v>68040</v>
      </c>
      <c r="H136" s="20">
        <f t="shared" si="17"/>
        <v>75600.000000000015</v>
      </c>
    </row>
    <row r="137" spans="1:10" hidden="1">
      <c r="A137" t="s">
        <v>502</v>
      </c>
      <c r="B137" s="20" t="e">
        <f t="shared" ref="B137:C138" si="18">(B120*100)</f>
        <v>#REF!</v>
      </c>
      <c r="C137" s="20" t="e">
        <f t="shared" si="18"/>
        <v>#REF!</v>
      </c>
      <c r="D137" s="20" t="e">
        <f t="shared" ref="D137:H137" si="19">(D120*100)</f>
        <v>#REF!</v>
      </c>
      <c r="E137" s="20" t="e">
        <f t="shared" si="19"/>
        <v>#REF!</v>
      </c>
      <c r="F137" s="20" t="e">
        <f t="shared" si="19"/>
        <v>#REF!</v>
      </c>
      <c r="G137" s="20" t="e">
        <f t="shared" si="19"/>
        <v>#REF!</v>
      </c>
      <c r="H137" s="20" t="e">
        <f t="shared" si="19"/>
        <v>#REF!</v>
      </c>
    </row>
    <row r="138" spans="1:10" hidden="1">
      <c r="A138" t="s">
        <v>503</v>
      </c>
      <c r="B138" s="20" t="e">
        <f t="shared" si="18"/>
        <v>#REF!</v>
      </c>
      <c r="C138" s="20" t="e">
        <f t="shared" si="18"/>
        <v>#REF!</v>
      </c>
      <c r="D138" s="20" t="e">
        <f t="shared" ref="D138:H138" si="20">(D121*100)</f>
        <v>#REF!</v>
      </c>
      <c r="E138" s="20" t="e">
        <f t="shared" si="20"/>
        <v>#REF!</v>
      </c>
      <c r="F138" s="20" t="e">
        <f t="shared" si="20"/>
        <v>#REF!</v>
      </c>
      <c r="G138" s="20" t="e">
        <f t="shared" si="20"/>
        <v>#REF!</v>
      </c>
      <c r="H138" s="20" t="e">
        <f t="shared" si="20"/>
        <v>#REF!</v>
      </c>
    </row>
    <row r="140" spans="1:10">
      <c r="B140" s="20"/>
      <c r="C140" s="20"/>
    </row>
    <row r="141" spans="1:10">
      <c r="B141" s="20"/>
      <c r="C141" s="20"/>
      <c r="D141" s="20"/>
    </row>
    <row r="142" spans="1:10" ht="18.75">
      <c r="A142" s="381" t="s">
        <v>735</v>
      </c>
      <c r="B142" s="381"/>
      <c r="C142" s="381"/>
      <c r="D142" s="381"/>
      <c r="E142" s="381"/>
      <c r="F142" s="381"/>
      <c r="G142" s="381"/>
      <c r="H142" s="381"/>
      <c r="I142" s="381"/>
      <c r="J142" s="381"/>
    </row>
    <row r="143" spans="1:10">
      <c r="A143" s="12"/>
      <c r="B143" s="12"/>
      <c r="C143" s="12"/>
      <c r="D143" s="12"/>
      <c r="E143" s="12"/>
      <c r="F143" s="12"/>
      <c r="G143" s="12"/>
      <c r="H143" s="12"/>
    </row>
    <row r="144" spans="1:10">
      <c r="A144" s="149"/>
      <c r="B144" s="149"/>
      <c r="C144" s="149"/>
      <c r="D144" s="150">
        <v>1</v>
      </c>
      <c r="E144" s="151">
        <f>(D144*5%)+D144</f>
        <v>1.05</v>
      </c>
      <c r="F144" s="151">
        <f t="shared" ref="F144:J144" si="21">(E144*5%)+E144</f>
        <v>1.1025</v>
      </c>
      <c r="G144" s="151">
        <f t="shared" si="21"/>
        <v>1.1576250000000001</v>
      </c>
      <c r="H144" s="151">
        <f t="shared" si="21"/>
        <v>1.2155062500000002</v>
      </c>
      <c r="I144" s="151">
        <f t="shared" si="21"/>
        <v>1.2762815625000004</v>
      </c>
      <c r="J144" s="151">
        <f t="shared" si="21"/>
        <v>1.3400956406250004</v>
      </c>
    </row>
    <row r="145" spans="1:10">
      <c r="A145" s="67"/>
      <c r="B145" s="67"/>
      <c r="C145" s="67"/>
      <c r="D145" s="67"/>
      <c r="E145" s="67"/>
      <c r="F145" s="67"/>
      <c r="G145" s="67"/>
      <c r="H145" s="67"/>
      <c r="I145" s="67"/>
      <c r="J145" s="67"/>
    </row>
    <row r="146" spans="1:10">
      <c r="A146" s="315" t="s">
        <v>0</v>
      </c>
      <c r="B146" s="315" t="s">
        <v>133</v>
      </c>
      <c r="C146" s="315" t="s">
        <v>153</v>
      </c>
      <c r="D146" s="316" t="s">
        <v>2</v>
      </c>
      <c r="E146" s="316" t="s">
        <v>3</v>
      </c>
      <c r="F146" s="316" t="s">
        <v>4</v>
      </c>
      <c r="G146" s="316" t="s">
        <v>5</v>
      </c>
      <c r="H146" s="316" t="s">
        <v>6</v>
      </c>
      <c r="I146" s="316" t="s">
        <v>169</v>
      </c>
      <c r="J146" s="316" t="s">
        <v>168</v>
      </c>
    </row>
    <row r="147" spans="1:10">
      <c r="A147" s="325"/>
      <c r="B147" s="325"/>
      <c r="C147" s="325"/>
      <c r="D147" s="325"/>
      <c r="E147" s="325"/>
      <c r="F147" s="325"/>
      <c r="G147" s="325"/>
      <c r="H147" s="325"/>
      <c r="I147" s="325"/>
      <c r="J147" s="325"/>
    </row>
    <row r="148" spans="1:10">
      <c r="A148" s="70" t="s">
        <v>127</v>
      </c>
      <c r="B148" s="70"/>
      <c r="C148" s="70"/>
      <c r="D148" s="83"/>
      <c r="E148" s="83"/>
      <c r="F148" s="83"/>
      <c r="G148" s="83"/>
      <c r="H148" s="83"/>
      <c r="I148" s="68"/>
      <c r="J148" s="68"/>
    </row>
    <row r="149" spans="1:10">
      <c r="A149" s="68" t="str">
        <f>A62</f>
        <v>Vinegar</v>
      </c>
      <c r="B149" s="288" t="s">
        <v>501</v>
      </c>
      <c r="C149" s="288">
        <v>100</v>
      </c>
      <c r="D149" s="69">
        <f>(B136*(1-'5.Closing Stock &amp; W Capital'!$D$18)*$C149*D$144)</f>
        <v>2933279.9999999995</v>
      </c>
      <c r="E149" s="69">
        <f>(((C136*(1-'5.Closing Stock &amp; W Capital'!$D$18))+(B136*'5.Closing Stock &amp; W Capital'!$D$18))*$C149*E$144)</f>
        <v>3945185.9999999995</v>
      </c>
      <c r="F149" s="69">
        <f>(((D136*(1-'5.Closing Stock &amp; W Capital'!$D$18))+(C136*'5.Closing Stock &amp; W Capital'!$D$18))*$C149*F$144)</f>
        <v>4975935.3</v>
      </c>
      <c r="G149" s="69">
        <f>(((E136*(1-'5.Closing Stock &amp; W Capital'!$D$18))+(D136*'5.Closing Stock &amp; W Capital'!$D$18))*$C149*G$144)</f>
        <v>6099896.5650000004</v>
      </c>
      <c r="H149" s="69">
        <f>(((F136*(1-'5.Closing Stock &amp; W Capital'!$D$18))+(E136*'5.Closing Stock &amp; W Capital'!$D$18))*$C149*H$144)</f>
        <v>7323814.1182500003</v>
      </c>
      <c r="I149" s="69">
        <f>(((G136*(1-'5.Closing Stock &amp; W Capital'!$D$18))+(F136*'5.Closing Stock &amp; W Capital'!$D$18))*$C149*I$144)</f>
        <v>8654873.6854125019</v>
      </c>
      <c r="J149" s="69">
        <f>(((H136*(1-'5.Closing Stock &amp; W Capital'!$D$18))+(G136*'5.Closing Stock &amp; W Capital'!$D$18))*$C149*J$144)</f>
        <v>10100729.673995629</v>
      </c>
    </row>
    <row r="150" spans="1:10">
      <c r="A150" s="68"/>
      <c r="B150" s="288"/>
      <c r="C150" s="288"/>
      <c r="D150" s="69"/>
      <c r="E150" s="69"/>
      <c r="F150" s="69"/>
      <c r="G150" s="69"/>
      <c r="H150" s="69"/>
      <c r="I150" s="69"/>
      <c r="J150" s="69"/>
    </row>
    <row r="151" spans="1:10">
      <c r="A151" s="68"/>
      <c r="B151" s="288"/>
      <c r="C151" s="288"/>
      <c r="D151" s="69"/>
      <c r="E151" s="69"/>
      <c r="F151" s="69"/>
      <c r="G151" s="69"/>
      <c r="H151" s="69"/>
      <c r="I151" s="69"/>
      <c r="J151" s="69"/>
    </row>
    <row r="152" spans="1:10">
      <c r="A152" s="70" t="s">
        <v>127</v>
      </c>
      <c r="B152" s="291"/>
      <c r="C152" s="291"/>
      <c r="D152" s="84">
        <f t="shared" ref="D152:J152" si="22">SUM(D149:D150)</f>
        <v>2933279.9999999995</v>
      </c>
      <c r="E152" s="84">
        <f t="shared" si="22"/>
        <v>3945185.9999999995</v>
      </c>
      <c r="F152" s="84">
        <f t="shared" si="22"/>
        <v>4975935.3</v>
      </c>
      <c r="G152" s="84">
        <f t="shared" si="22"/>
        <v>6099896.5650000004</v>
      </c>
      <c r="H152" s="84">
        <f t="shared" si="22"/>
        <v>7323814.1182500003</v>
      </c>
      <c r="I152" s="84">
        <f t="shared" si="22"/>
        <v>8654873.6854125019</v>
      </c>
      <c r="J152" s="84">
        <f t="shared" si="22"/>
        <v>10100729.673995629</v>
      </c>
    </row>
    <row r="153" spans="1:10">
      <c r="A153" s="68"/>
      <c r="B153" s="288"/>
      <c r="C153" s="288"/>
      <c r="D153" s="69"/>
      <c r="E153" s="69"/>
      <c r="F153" s="69"/>
      <c r="G153" s="69"/>
      <c r="H153" s="69"/>
      <c r="I153" s="69"/>
      <c r="J153" s="69"/>
    </row>
    <row r="154" spans="1:10">
      <c r="A154" s="70" t="s">
        <v>142</v>
      </c>
      <c r="B154" s="291"/>
      <c r="C154" s="291"/>
      <c r="D154" s="69"/>
      <c r="E154" s="69"/>
      <c r="F154" s="69"/>
      <c r="G154" s="69"/>
      <c r="H154" s="69"/>
      <c r="I154" s="69"/>
      <c r="J154" s="69"/>
    </row>
    <row r="155" spans="1:10">
      <c r="A155" s="70" t="s">
        <v>311</v>
      </c>
      <c r="B155" s="291"/>
      <c r="C155" s="288"/>
      <c r="D155" s="69"/>
      <c r="E155" s="69"/>
      <c r="F155" s="69"/>
      <c r="G155" s="69"/>
      <c r="H155" s="69"/>
      <c r="I155" s="69"/>
      <c r="J155" s="69"/>
    </row>
    <row r="156" spans="1:10">
      <c r="A156" s="68" t="s">
        <v>708</v>
      </c>
      <c r="B156" s="288" t="s">
        <v>358</v>
      </c>
      <c r="C156" s="152">
        <v>1000</v>
      </c>
      <c r="D156" s="69">
        <f>B39*$C$156*D144</f>
        <v>1008000</v>
      </c>
      <c r="E156" s="69">
        <f t="shared" ref="E156:J156" si="23">C39*$C$156*E144</f>
        <v>1323000</v>
      </c>
      <c r="F156" s="69">
        <f t="shared" si="23"/>
        <v>1666980</v>
      </c>
      <c r="G156" s="69">
        <f t="shared" si="23"/>
        <v>2042050.5000000002</v>
      </c>
      <c r="H156" s="69">
        <f t="shared" si="23"/>
        <v>2450460.6000000006</v>
      </c>
      <c r="I156" s="69">
        <f t="shared" si="23"/>
        <v>2894606.5837500007</v>
      </c>
      <c r="J156" s="69">
        <f t="shared" si="23"/>
        <v>3377041.0143750017</v>
      </c>
    </row>
    <row r="157" spans="1:10">
      <c r="A157" s="68" t="s">
        <v>317</v>
      </c>
      <c r="B157" s="288">
        <v>10</v>
      </c>
      <c r="C157" s="288">
        <v>300</v>
      </c>
      <c r="D157" s="69">
        <f t="shared" ref="D157:J157" si="24">B12*$B$157*$C$157*D144</f>
        <v>378000</v>
      </c>
      <c r="E157" s="69">
        <f t="shared" si="24"/>
        <v>496125</v>
      </c>
      <c r="F157" s="69">
        <f t="shared" si="24"/>
        <v>625117.5</v>
      </c>
      <c r="G157" s="69">
        <f t="shared" si="24"/>
        <v>765768.93750000012</v>
      </c>
      <c r="H157" s="69">
        <f t="shared" si="24"/>
        <v>918922.72500000021</v>
      </c>
      <c r="I157" s="69">
        <f t="shared" si="24"/>
        <v>1085477.4689062503</v>
      </c>
      <c r="J157" s="69">
        <f t="shared" si="24"/>
        <v>1266390.3803906254</v>
      </c>
    </row>
    <row r="158" spans="1:10">
      <c r="A158" s="68" t="s">
        <v>144</v>
      </c>
      <c r="B158" s="288">
        <f>15*0.746*8</f>
        <v>89.52</v>
      </c>
      <c r="C158" s="288">
        <v>10</v>
      </c>
      <c r="D158" s="69">
        <f t="shared" ref="D158:J158" si="25">$B$158*$C$158*B12*D144</f>
        <v>112795.2</v>
      </c>
      <c r="E158" s="69">
        <f t="shared" si="25"/>
        <v>148043.70000000001</v>
      </c>
      <c r="F158" s="69">
        <f t="shared" si="25"/>
        <v>186535.06200000001</v>
      </c>
      <c r="G158" s="69">
        <f t="shared" si="25"/>
        <v>228505.45095</v>
      </c>
      <c r="H158" s="69">
        <f t="shared" si="25"/>
        <v>274206.54114000004</v>
      </c>
      <c r="I158" s="69">
        <f t="shared" si="25"/>
        <v>323906.47672162508</v>
      </c>
      <c r="J158" s="69">
        <f t="shared" si="25"/>
        <v>377890.88950856269</v>
      </c>
    </row>
    <row r="159" spans="1:10">
      <c r="A159" s="68" t="s">
        <v>294</v>
      </c>
      <c r="B159" s="288" t="s">
        <v>358</v>
      </c>
      <c r="C159" s="288">
        <v>10</v>
      </c>
      <c r="D159" s="69">
        <f t="shared" ref="D159:J159" si="26">(B13)*$C$159*D144</f>
        <v>10080</v>
      </c>
      <c r="E159" s="69">
        <f t="shared" si="26"/>
        <v>13230</v>
      </c>
      <c r="F159" s="69">
        <f t="shared" si="26"/>
        <v>16669.8</v>
      </c>
      <c r="G159" s="69">
        <f t="shared" si="26"/>
        <v>20420.505000000001</v>
      </c>
      <c r="H159" s="69">
        <f t="shared" si="26"/>
        <v>24504.606000000003</v>
      </c>
      <c r="I159" s="69">
        <f t="shared" si="26"/>
        <v>28946.065837500009</v>
      </c>
      <c r="J159" s="69">
        <f t="shared" si="26"/>
        <v>33770.410143750014</v>
      </c>
    </row>
    <row r="160" spans="1:10">
      <c r="A160" s="79" t="s">
        <v>295</v>
      </c>
      <c r="B160" s="351"/>
      <c r="C160" s="351">
        <v>10</v>
      </c>
      <c r="D160" s="69">
        <f t="shared" ref="D160:J160" si="27">B136*$C$160*D144</f>
        <v>302399.99999999994</v>
      </c>
      <c r="E160" s="69">
        <f t="shared" si="27"/>
        <v>396900</v>
      </c>
      <c r="F160" s="69">
        <f t="shared" si="27"/>
        <v>500094</v>
      </c>
      <c r="G160" s="69">
        <f t="shared" si="27"/>
        <v>612615.14999999991</v>
      </c>
      <c r="H160" s="69">
        <f t="shared" si="27"/>
        <v>735138.18</v>
      </c>
      <c r="I160" s="69">
        <f t="shared" si="27"/>
        <v>868381.97512500023</v>
      </c>
      <c r="J160" s="69">
        <f t="shared" si="27"/>
        <v>1013112.3043125005</v>
      </c>
    </row>
    <row r="161" spans="1:10">
      <c r="A161" s="68" t="s">
        <v>296</v>
      </c>
      <c r="B161" s="288"/>
      <c r="C161" s="288">
        <v>5</v>
      </c>
      <c r="D161" s="69">
        <f t="shared" ref="D161:J161" si="28">B136*$C$161*D144</f>
        <v>151199.99999999997</v>
      </c>
      <c r="E161" s="69">
        <f t="shared" si="28"/>
        <v>198450</v>
      </c>
      <c r="F161" s="69">
        <f t="shared" si="28"/>
        <v>250047</v>
      </c>
      <c r="G161" s="69">
        <f t="shared" si="28"/>
        <v>306307.57499999995</v>
      </c>
      <c r="H161" s="69">
        <f t="shared" si="28"/>
        <v>367569.09</v>
      </c>
      <c r="I161" s="69">
        <f t="shared" si="28"/>
        <v>434190.98756250012</v>
      </c>
      <c r="J161" s="69">
        <f t="shared" si="28"/>
        <v>506556.15215625026</v>
      </c>
    </row>
    <row r="162" spans="1:10">
      <c r="A162" s="9"/>
      <c r="B162" s="336"/>
      <c r="C162" s="336"/>
      <c r="D162" s="9"/>
      <c r="E162" s="9"/>
      <c r="F162" s="9"/>
      <c r="G162" s="9"/>
      <c r="H162" s="9"/>
      <c r="I162" s="9"/>
      <c r="J162" s="9"/>
    </row>
    <row r="163" spans="1:10">
      <c r="A163" s="9"/>
      <c r="B163" s="336"/>
      <c r="C163" s="336"/>
      <c r="D163" s="9"/>
      <c r="E163" s="9"/>
      <c r="F163" s="9"/>
      <c r="G163" s="9"/>
      <c r="H163" s="9"/>
      <c r="I163" s="9"/>
      <c r="J163" s="9"/>
    </row>
    <row r="164" spans="1:10">
      <c r="A164" s="9"/>
      <c r="B164" s="336"/>
      <c r="C164" s="336"/>
      <c r="D164" s="9"/>
      <c r="E164" s="9"/>
      <c r="F164" s="9"/>
      <c r="G164" s="9"/>
      <c r="H164" s="9"/>
      <c r="I164" s="9"/>
      <c r="J164" s="9"/>
    </row>
    <row r="165" spans="1:10">
      <c r="A165" s="9"/>
      <c r="B165" s="9"/>
      <c r="C165" s="9"/>
      <c r="D165" s="9"/>
      <c r="E165" s="9"/>
      <c r="F165" s="9"/>
      <c r="G165" s="9"/>
      <c r="H165" s="9"/>
      <c r="I165" s="9"/>
      <c r="J165" s="9"/>
    </row>
    <row r="166" spans="1:10">
      <c r="A166" s="152" t="s">
        <v>339</v>
      </c>
      <c r="B166" s="69"/>
      <c r="C166" s="69"/>
      <c r="D166" s="69"/>
      <c r="E166" s="69">
        <f>'5.Closing Stock &amp; W Capital'!F8</f>
        <v>945701.38656000001</v>
      </c>
      <c r="F166" s="69">
        <f>'5.Closing Stock &amp; W Capital'!G8</f>
        <v>1191583.7470656</v>
      </c>
      <c r="G166" s="69">
        <f>'5.Closing Stock &amp; W Capital'!H8</f>
        <v>1459690.0901553596</v>
      </c>
      <c r="H166" s="69">
        <f>'5.Closing Stock &amp; W Capital'!I8</f>
        <v>1751628.1081864322</v>
      </c>
      <c r="I166" s="69">
        <f>'5.Closing Stock &amp; W Capital'!J8</f>
        <v>2069110.7027952226</v>
      </c>
      <c r="J166" s="69">
        <f>'5.Closing Stock &amp; W Capital'!K8</f>
        <v>2413962.4865944274</v>
      </c>
    </row>
    <row r="167" spans="1:10">
      <c r="A167" s="152" t="s">
        <v>340</v>
      </c>
      <c r="B167" s="69"/>
      <c r="C167" s="69"/>
      <c r="D167" s="69">
        <f>'5.Closing Stock &amp; W Capital'!E17</f>
        <v>945701.38656000001</v>
      </c>
      <c r="E167" s="69">
        <f>'5.Closing Stock &amp; W Capital'!F17</f>
        <v>1191583.7470656</v>
      </c>
      <c r="F167" s="69">
        <f>'5.Closing Stock &amp; W Capital'!G17</f>
        <v>1459690.0901553596</v>
      </c>
      <c r="G167" s="69">
        <f>'5.Closing Stock &amp; W Capital'!H17</f>
        <v>1751628.1081864322</v>
      </c>
      <c r="H167" s="69">
        <f>'5.Closing Stock &amp; W Capital'!I17</f>
        <v>2069110.7027952226</v>
      </c>
      <c r="I167" s="69">
        <f>'5.Closing Stock &amp; W Capital'!J17</f>
        <v>2413962.4865944274</v>
      </c>
      <c r="J167" s="69">
        <f>'5.Closing Stock &amp; W Capital'!K17</f>
        <v>2788126.6720165638</v>
      </c>
    </row>
    <row r="168" spans="1:10">
      <c r="A168" s="69"/>
      <c r="B168" s="69"/>
      <c r="C168" s="69"/>
      <c r="D168" s="69"/>
      <c r="E168" s="69"/>
      <c r="F168" s="69"/>
      <c r="G168" s="69"/>
      <c r="H168" s="69"/>
      <c r="I168" s="69"/>
      <c r="J168" s="69"/>
    </row>
    <row r="169" spans="1:10">
      <c r="A169" s="84" t="s">
        <v>318</v>
      </c>
      <c r="B169" s="69"/>
      <c r="C169" s="69"/>
      <c r="D169" s="84">
        <f t="shared" ref="D169:J169" si="29">SUM(D156:D166)-D167</f>
        <v>1016773.8134399999</v>
      </c>
      <c r="E169" s="84">
        <f t="shared" si="29"/>
        <v>2329866.3394944002</v>
      </c>
      <c r="F169" s="84">
        <f t="shared" si="29"/>
        <v>2977337.0189102404</v>
      </c>
      <c r="G169" s="84">
        <f t="shared" si="29"/>
        <v>3683730.1004189271</v>
      </c>
      <c r="H169" s="84">
        <f t="shared" si="29"/>
        <v>4453319.1475312104</v>
      </c>
      <c r="I169" s="84">
        <f t="shared" si="29"/>
        <v>5290657.7741036704</v>
      </c>
      <c r="J169" s="84">
        <f t="shared" si="29"/>
        <v>6200596.9654645538</v>
      </c>
    </row>
    <row r="170" spans="1:10">
      <c r="A170" s="67"/>
      <c r="B170" s="67"/>
      <c r="C170" s="67"/>
      <c r="D170" s="67"/>
      <c r="E170" s="67"/>
      <c r="F170" s="67"/>
      <c r="G170" s="67"/>
      <c r="H170" s="67"/>
      <c r="I170" s="67"/>
      <c r="J170" s="67"/>
    </row>
    <row r="171" spans="1:10">
      <c r="A171" s="153" t="s">
        <v>309</v>
      </c>
      <c r="B171" s="153"/>
      <c r="C171" s="153"/>
      <c r="D171" s="84"/>
      <c r="E171" s="84"/>
      <c r="F171" s="84"/>
      <c r="G171" s="84"/>
      <c r="H171" s="84"/>
      <c r="I171" s="84"/>
      <c r="J171" s="84"/>
    </row>
    <row r="172" spans="1:10">
      <c r="A172" s="68" t="s">
        <v>188</v>
      </c>
      <c r="B172" s="288">
        <v>2</v>
      </c>
      <c r="C172" s="152">
        <v>12000</v>
      </c>
      <c r="D172" s="69">
        <f t="shared" ref="D172:J172" si="30">$B$172*$C$172*12*D144</f>
        <v>288000</v>
      </c>
      <c r="E172" s="69">
        <f t="shared" si="30"/>
        <v>302400</v>
      </c>
      <c r="F172" s="69">
        <f t="shared" si="30"/>
        <v>317520</v>
      </c>
      <c r="G172" s="69">
        <f t="shared" si="30"/>
        <v>333396.00000000006</v>
      </c>
      <c r="H172" s="69">
        <f t="shared" si="30"/>
        <v>350065.80000000005</v>
      </c>
      <c r="I172" s="69">
        <f t="shared" si="30"/>
        <v>367569.09000000008</v>
      </c>
      <c r="J172" s="69">
        <f t="shared" si="30"/>
        <v>385947.54450000013</v>
      </c>
    </row>
    <row r="173" spans="1:10">
      <c r="A173" s="68"/>
      <c r="B173" s="288"/>
      <c r="C173" s="152"/>
      <c r="D173" s="69"/>
      <c r="E173" s="69"/>
      <c r="F173" s="69"/>
      <c r="G173" s="69"/>
      <c r="H173" s="69"/>
      <c r="I173" s="69"/>
      <c r="J173" s="69"/>
    </row>
    <row r="174" spans="1:10">
      <c r="A174" s="68"/>
      <c r="B174" s="288"/>
      <c r="C174" s="152"/>
      <c r="D174" s="69"/>
      <c r="E174" s="69"/>
      <c r="F174" s="69"/>
      <c r="G174" s="69"/>
      <c r="H174" s="69"/>
      <c r="I174" s="69"/>
      <c r="J174" s="69"/>
    </row>
    <row r="175" spans="1:10">
      <c r="A175" s="68"/>
      <c r="B175" s="288"/>
      <c r="C175" s="152"/>
      <c r="D175" s="69"/>
      <c r="E175" s="69"/>
      <c r="F175" s="69"/>
      <c r="G175" s="69"/>
      <c r="H175" s="69"/>
      <c r="I175" s="69"/>
      <c r="J175" s="69"/>
    </row>
    <row r="176" spans="1:10">
      <c r="A176" s="68"/>
      <c r="B176" s="288"/>
      <c r="C176" s="152"/>
      <c r="D176" s="69"/>
      <c r="E176" s="69"/>
      <c r="F176" s="69"/>
      <c r="G176" s="69"/>
      <c r="H176" s="69"/>
      <c r="I176" s="69"/>
      <c r="J176" s="69"/>
    </row>
    <row r="177" spans="1:10">
      <c r="A177" s="70" t="s">
        <v>309</v>
      </c>
      <c r="B177" s="70"/>
      <c r="C177" s="70"/>
      <c r="D177" s="84">
        <f>SUM(D172:D176)</f>
        <v>288000</v>
      </c>
      <c r="E177" s="84">
        <f t="shared" ref="E177:J177" si="31">SUM(E172:E176)</f>
        <v>302400</v>
      </c>
      <c r="F177" s="84">
        <f t="shared" si="31"/>
        <v>317520</v>
      </c>
      <c r="G177" s="84">
        <f t="shared" si="31"/>
        <v>333396.00000000006</v>
      </c>
      <c r="H177" s="84">
        <f t="shared" si="31"/>
        <v>350065.80000000005</v>
      </c>
      <c r="I177" s="84">
        <f t="shared" si="31"/>
        <v>367569.09000000008</v>
      </c>
      <c r="J177" s="84">
        <f t="shared" si="31"/>
        <v>385947.54450000013</v>
      </c>
    </row>
    <row r="178" spans="1:10">
      <c r="A178" s="153" t="s">
        <v>297</v>
      </c>
      <c r="B178" s="153"/>
      <c r="C178" s="153"/>
      <c r="D178" s="84">
        <f>D169+D177</f>
        <v>1304773.8134399999</v>
      </c>
      <c r="E178" s="84">
        <f t="shared" ref="E178:J178" si="32">E169+E177</f>
        <v>2632266.3394944002</v>
      </c>
      <c r="F178" s="84">
        <f t="shared" si="32"/>
        <v>3294857.0189102404</v>
      </c>
      <c r="G178" s="84">
        <f t="shared" si="32"/>
        <v>4017126.1004189271</v>
      </c>
      <c r="H178" s="84">
        <f t="shared" si="32"/>
        <v>4803384.9475312103</v>
      </c>
      <c r="I178" s="84">
        <f t="shared" si="32"/>
        <v>5658226.8641036702</v>
      </c>
      <c r="J178" s="84">
        <f t="shared" si="32"/>
        <v>6586544.5099645536</v>
      </c>
    </row>
    <row r="179" spans="1:10">
      <c r="A179" s="68"/>
      <c r="B179" s="68"/>
      <c r="C179" s="68"/>
      <c r="D179" s="69"/>
      <c r="E179" s="69"/>
      <c r="F179" s="69"/>
      <c r="G179" s="69"/>
      <c r="H179" s="69"/>
      <c r="I179" s="69"/>
      <c r="J179" s="69"/>
    </row>
    <row r="180" spans="1:10">
      <c r="A180" s="70" t="s">
        <v>7</v>
      </c>
      <c r="B180" s="70"/>
      <c r="C180" s="70"/>
      <c r="D180" s="84">
        <f t="shared" ref="D180:J180" si="33">D152-D178</f>
        <v>1628506.1865599996</v>
      </c>
      <c r="E180" s="84">
        <f t="shared" si="33"/>
        <v>1312919.6605055993</v>
      </c>
      <c r="F180" s="84">
        <f t="shared" si="33"/>
        <v>1681078.2810897594</v>
      </c>
      <c r="G180" s="84">
        <f t="shared" si="33"/>
        <v>2082770.4645810733</v>
      </c>
      <c r="H180" s="84">
        <f t="shared" si="33"/>
        <v>2520429.17071879</v>
      </c>
      <c r="I180" s="84">
        <f t="shared" si="33"/>
        <v>2996646.8213088317</v>
      </c>
      <c r="J180" s="84">
        <f t="shared" si="33"/>
        <v>3514185.1640310753</v>
      </c>
    </row>
    <row r="181" spans="1:10">
      <c r="A181" s="85"/>
      <c r="B181" s="85"/>
      <c r="C181" s="85"/>
      <c r="D181" s="67"/>
      <c r="E181" s="67"/>
      <c r="F181" s="67"/>
      <c r="G181" s="67"/>
      <c r="H181" s="67"/>
      <c r="I181" s="67"/>
      <c r="J181" s="67"/>
    </row>
    <row r="182" spans="1:10">
      <c r="A182" s="67"/>
      <c r="B182" s="67"/>
      <c r="C182" s="67"/>
      <c r="D182" s="67"/>
      <c r="E182" s="67"/>
      <c r="F182" s="67"/>
      <c r="G182" s="67"/>
      <c r="H182" s="67"/>
      <c r="I182" s="67"/>
      <c r="J182" s="67"/>
    </row>
    <row r="183" spans="1:10">
      <c r="A183" s="67"/>
      <c r="B183" s="67"/>
      <c r="C183" s="67"/>
      <c r="D183" s="67"/>
      <c r="E183" s="67"/>
      <c r="F183" s="67"/>
      <c r="G183" s="67"/>
      <c r="H183" s="67"/>
      <c r="I183" s="67"/>
      <c r="J183" s="67"/>
    </row>
    <row r="184" spans="1:10">
      <c r="A184" s="384" t="s">
        <v>415</v>
      </c>
      <c r="B184" s="384"/>
      <c r="C184" s="384"/>
      <c r="D184" s="384"/>
      <c r="E184" s="384"/>
      <c r="F184" s="384"/>
      <c r="G184" s="384"/>
      <c r="H184" s="384"/>
      <c r="I184" s="384"/>
      <c r="J184" s="384"/>
    </row>
    <row r="186" spans="1:10">
      <c r="A186" t="s">
        <v>508</v>
      </c>
    </row>
    <row r="187" spans="1:10">
      <c r="A187">
        <v>1</v>
      </c>
      <c r="B187" t="s">
        <v>521</v>
      </c>
    </row>
    <row r="188" spans="1:10">
      <c r="A188">
        <v>2</v>
      </c>
      <c r="B188" t="s">
        <v>522</v>
      </c>
      <c r="C188" s="49"/>
      <c r="D188" s="49"/>
      <c r="E188" s="49"/>
    </row>
    <row r="189" spans="1:10">
      <c r="A189">
        <v>3</v>
      </c>
      <c r="B189" s="67" t="s">
        <v>569</v>
      </c>
    </row>
  </sheetData>
  <mergeCells count="4">
    <mergeCell ref="A3:H3"/>
    <mergeCell ref="A142:J142"/>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G33"/>
  <sheetViews>
    <sheetView view="pageBreakPreview" zoomScaleSheetLayoutView="100" workbookViewId="0">
      <selection activeCell="D6" sqref="D6"/>
    </sheetView>
  </sheetViews>
  <sheetFormatPr defaultRowHeight="15"/>
  <cols>
    <col min="1" max="1" width="5.140625" customWidth="1"/>
    <col min="2" max="2" width="5.85546875" customWidth="1"/>
    <col min="3" max="3" width="26.28515625" bestFit="1" customWidth="1"/>
    <col min="4" max="4" width="12.7109375" customWidth="1"/>
    <col min="5" max="5" width="16" customWidth="1"/>
    <col min="6" max="6" width="17.7109375" customWidth="1"/>
  </cols>
  <sheetData>
    <row r="2" spans="1:6" ht="18.75">
      <c r="B2" s="381" t="s">
        <v>524</v>
      </c>
      <c r="C2" s="381"/>
      <c r="D2" s="381"/>
      <c r="E2" s="381"/>
      <c r="F2" s="381"/>
    </row>
    <row r="4" spans="1:6" ht="30">
      <c r="B4" s="353" t="s">
        <v>145</v>
      </c>
      <c r="C4" s="353" t="s">
        <v>128</v>
      </c>
      <c r="D4" s="353" t="s">
        <v>159</v>
      </c>
      <c r="E4" s="353" t="s">
        <v>460</v>
      </c>
      <c r="F4" s="353" t="s">
        <v>461</v>
      </c>
    </row>
    <row r="5" spans="1:6">
      <c r="B5" s="354">
        <v>1</v>
      </c>
      <c r="C5" s="355" t="str">
        <f>'2.Capex Details'!B2</f>
        <v>Land and Building</v>
      </c>
      <c r="D5" s="356">
        <f>'2.Capex Details'!G12</f>
        <v>8750000</v>
      </c>
      <c r="E5" s="357">
        <v>0.6</v>
      </c>
      <c r="F5" s="358">
        <f>D5*E5</f>
        <v>5250000</v>
      </c>
    </row>
    <row r="6" spans="1:6">
      <c r="B6" s="354">
        <v>2</v>
      </c>
      <c r="C6" s="355" t="str">
        <f>'2.Capex Details'!B15</f>
        <v>Machinery and Equipment</v>
      </c>
      <c r="D6" s="356">
        <f>'2.Capex Details'!G62</f>
        <v>9372262</v>
      </c>
      <c r="E6" s="357">
        <v>0.6</v>
      </c>
      <c r="F6" s="358">
        <f t="shared" ref="F6:F10" si="0">D6*E6</f>
        <v>5623357.2000000002</v>
      </c>
    </row>
    <row r="7" spans="1:6">
      <c r="B7" s="354">
        <v>3</v>
      </c>
      <c r="C7" s="355" t="str">
        <f>'2.Capex Details'!B68</f>
        <v>Furniture and Fixture</v>
      </c>
      <c r="D7" s="356">
        <f>'2.Capex Details'!F77</f>
        <v>115000</v>
      </c>
      <c r="E7" s="357">
        <v>0.6</v>
      </c>
      <c r="F7" s="358">
        <f t="shared" si="0"/>
        <v>69000</v>
      </c>
    </row>
    <row r="8" spans="1:6">
      <c r="B8" s="354">
        <v>4</v>
      </c>
      <c r="C8" s="355" t="str">
        <f>'2.Capex Details'!B82</f>
        <v>IT &amp; It Infrastracture</v>
      </c>
      <c r="D8" s="356">
        <f>'2.Capex Details'!F92</f>
        <v>143600</v>
      </c>
      <c r="E8" s="357">
        <v>0.6</v>
      </c>
      <c r="F8" s="358">
        <f t="shared" si="0"/>
        <v>86160</v>
      </c>
    </row>
    <row r="9" spans="1:6">
      <c r="B9" s="354">
        <v>5</v>
      </c>
      <c r="C9" s="355" t="s">
        <v>687</v>
      </c>
      <c r="D9" s="356">
        <f>'2.Capex Details'!F103</f>
        <v>1621463</v>
      </c>
      <c r="E9" s="357">
        <v>0.6</v>
      </c>
      <c r="F9" s="358"/>
    </row>
    <row r="10" spans="1:6">
      <c r="B10" s="354">
        <v>6</v>
      </c>
      <c r="C10" s="355" t="str">
        <f>'2.Capex Details'!B107</f>
        <v>Preliminary Expenses</v>
      </c>
      <c r="D10" s="356">
        <f>'2.Capex Details'!D115</f>
        <v>630000</v>
      </c>
      <c r="E10" s="357">
        <v>0.6</v>
      </c>
      <c r="F10" s="358">
        <f t="shared" si="0"/>
        <v>378000</v>
      </c>
    </row>
    <row r="11" spans="1:6">
      <c r="B11" s="354">
        <v>7</v>
      </c>
      <c r="C11" s="355" t="s">
        <v>157</v>
      </c>
      <c r="D11" s="356">
        <f>'5.Closing Stock &amp; W Capital'!E56</f>
        <v>952812.19437139714</v>
      </c>
      <c r="E11" s="359"/>
      <c r="F11" s="359"/>
    </row>
    <row r="12" spans="1:6">
      <c r="B12" s="382" t="s">
        <v>1</v>
      </c>
      <c r="C12" s="382"/>
      <c r="D12" s="360">
        <f>SUM(D5:D11)</f>
        <v>21585137.194371399</v>
      </c>
      <c r="E12" s="359"/>
      <c r="F12" s="360">
        <f>SUM(F5:F11)</f>
        <v>11406517.199999999</v>
      </c>
    </row>
    <row r="13" spans="1:6">
      <c r="D13" s="17"/>
    </row>
    <row r="14" spans="1:6" ht="25.5" customHeight="1">
      <c r="A14" s="385" t="s">
        <v>408</v>
      </c>
      <c r="B14" s="385"/>
      <c r="C14" s="385"/>
      <c r="D14" s="385"/>
      <c r="E14" s="385"/>
      <c r="F14" s="385"/>
    </row>
    <row r="16" spans="1:6" ht="18.75">
      <c r="B16" s="381" t="s">
        <v>525</v>
      </c>
      <c r="C16" s="381"/>
      <c r="D16" s="381"/>
      <c r="E16" s="381"/>
      <c r="F16" s="381"/>
    </row>
    <row r="18" spans="2:7" ht="38.25">
      <c r="B18" s="293" t="s">
        <v>145</v>
      </c>
      <c r="C18" s="292" t="s">
        <v>128</v>
      </c>
      <c r="D18" s="292" t="s">
        <v>726</v>
      </c>
      <c r="E18" s="292" t="s">
        <v>159</v>
      </c>
    </row>
    <row r="19" spans="2:7" ht="25.5">
      <c r="B19" s="294">
        <v>1</v>
      </c>
      <c r="C19" s="295" t="s">
        <v>330</v>
      </c>
      <c r="D19" s="296"/>
      <c r="E19" s="297">
        <f>F12</f>
        <v>11406517.199999999</v>
      </c>
    </row>
    <row r="20" spans="2:7">
      <c r="B20" s="294">
        <v>2</v>
      </c>
      <c r="C20" s="295" t="s">
        <v>158</v>
      </c>
      <c r="D20" s="296"/>
      <c r="E20" s="297">
        <f>D12-E19-E21</f>
        <v>7162575.3000000026</v>
      </c>
    </row>
    <row r="21" spans="2:7">
      <c r="B21" s="294">
        <v>3</v>
      </c>
      <c r="C21" s="295" t="s">
        <v>135</v>
      </c>
      <c r="D21" s="298">
        <v>0.1</v>
      </c>
      <c r="E21" s="297">
        <f>SUM(D5:D10)*D21+D11</f>
        <v>3016044.6943713971</v>
      </c>
    </row>
    <row r="22" spans="2:7">
      <c r="B22" s="383" t="s">
        <v>1</v>
      </c>
      <c r="C22" s="383"/>
      <c r="D22" s="299"/>
      <c r="E22" s="299">
        <f>SUM(E19:E21)</f>
        <v>21585137.194371399</v>
      </c>
    </row>
    <row r="24" spans="2:7">
      <c r="B24" s="384" t="s">
        <v>409</v>
      </c>
      <c r="C24" s="384"/>
      <c r="D24" s="384"/>
      <c r="E24" s="384"/>
      <c r="F24" s="384"/>
    </row>
    <row r="26" spans="2:7" ht="18.75">
      <c r="B26" s="381" t="s">
        <v>526</v>
      </c>
      <c r="C26" s="381"/>
      <c r="D26" s="381"/>
      <c r="E26" s="381"/>
      <c r="F26" s="381"/>
    </row>
    <row r="27" spans="2:7" ht="25.5">
      <c r="B27" s="310" t="s">
        <v>145</v>
      </c>
      <c r="C27" s="311" t="s">
        <v>572</v>
      </c>
      <c r="D27" s="312" t="s">
        <v>573</v>
      </c>
      <c r="E27" s="313" t="s">
        <v>574</v>
      </c>
      <c r="F27" s="379" t="s">
        <v>575</v>
      </c>
      <c r="G27" s="380"/>
    </row>
    <row r="28" spans="2:7" ht="25.5">
      <c r="B28" s="242">
        <v>1</v>
      </c>
      <c r="C28" s="241" t="s">
        <v>373</v>
      </c>
      <c r="D28" s="243">
        <f>'9. Financial indiacators'!C49</f>
        <v>0.50782951402032239</v>
      </c>
      <c r="E28" s="242" t="s">
        <v>374</v>
      </c>
      <c r="F28" s="249" t="s">
        <v>576</v>
      </c>
      <c r="G28" s="242" t="s">
        <v>375</v>
      </c>
    </row>
    <row r="29" spans="2:7" ht="38.25">
      <c r="B29" s="242">
        <v>2</v>
      </c>
      <c r="C29" s="241" t="s">
        <v>376</v>
      </c>
      <c r="D29" s="244">
        <f>'9. Financial indiacators'!C85</f>
        <v>0.18020268284791574</v>
      </c>
      <c r="E29" s="242" t="s">
        <v>374</v>
      </c>
      <c r="F29" s="249" t="s">
        <v>724</v>
      </c>
      <c r="G29" s="242" t="s">
        <v>377</v>
      </c>
    </row>
    <row r="30" spans="2:7" ht="38.25">
      <c r="B30" s="242">
        <v>3</v>
      </c>
      <c r="C30" s="241" t="s">
        <v>378</v>
      </c>
      <c r="D30" s="243">
        <f>'9. Financial indiacators'!C16</f>
        <v>0.1134761964945339</v>
      </c>
      <c r="E30" s="242" t="s">
        <v>374</v>
      </c>
      <c r="F30" s="249" t="s">
        <v>725</v>
      </c>
      <c r="G30" s="242" t="s">
        <v>379</v>
      </c>
    </row>
    <row r="31" spans="2:7" ht="63.75">
      <c r="B31" s="242">
        <v>4</v>
      </c>
      <c r="C31" s="241" t="s">
        <v>380</v>
      </c>
      <c r="D31" s="245">
        <f>'9. Financial indiacators'!C73</f>
        <v>1200857.9707757272</v>
      </c>
      <c r="E31" s="242" t="s">
        <v>384</v>
      </c>
      <c r="F31" s="249" t="s">
        <v>577</v>
      </c>
      <c r="G31" s="242" t="s">
        <v>381</v>
      </c>
    </row>
    <row r="32" spans="2:7" ht="38.25">
      <c r="B32" s="242">
        <v>5</v>
      </c>
      <c r="C32" s="241" t="s">
        <v>382</v>
      </c>
      <c r="D32" s="246">
        <f>'9. Financial indiacators'!D101</f>
        <v>5.3046723010166952</v>
      </c>
      <c r="E32" s="242" t="s">
        <v>374</v>
      </c>
      <c r="F32" s="249" t="s">
        <v>578</v>
      </c>
      <c r="G32" s="242" t="s">
        <v>385</v>
      </c>
    </row>
    <row r="33" spans="2:7" ht="38.25">
      <c r="B33" s="242">
        <v>6</v>
      </c>
      <c r="C33" s="247" t="s">
        <v>383</v>
      </c>
      <c r="D33" s="246">
        <f>'9. Financial indiacators'!C119</f>
        <v>3.5966832444596064</v>
      </c>
      <c r="E33" s="248" t="s">
        <v>374</v>
      </c>
      <c r="F33" s="249" t="s">
        <v>579</v>
      </c>
      <c r="G33" s="247" t="s">
        <v>750</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dimension ref="A2:K117"/>
  <sheetViews>
    <sheetView tabSelected="1" view="pageBreakPreview" topLeftCell="A31" zoomScaleSheetLayoutView="100" workbookViewId="0">
      <selection activeCell="N44" sqref="N44"/>
    </sheetView>
  </sheetViews>
  <sheetFormatPr defaultRowHeight="15"/>
  <cols>
    <col min="1" max="1" width="3.7109375" customWidth="1"/>
    <col min="2" max="2" width="5.28515625" customWidth="1"/>
    <col min="3" max="3" width="51" customWidth="1"/>
    <col min="4" max="4" width="11.7109375" customWidth="1"/>
    <col min="5" max="5" width="8.5703125" customWidth="1"/>
    <col min="6" max="6" width="14" bestFit="1" customWidth="1"/>
    <col min="7" max="7" width="13.5703125" bestFit="1" customWidth="1"/>
    <col min="8" max="8" width="6.28515625" customWidth="1"/>
    <col min="9" max="9" width="10.28515625" hidden="1" customWidth="1"/>
  </cols>
  <sheetData>
    <row r="2" spans="1:8" ht="18.75">
      <c r="A2">
        <v>2.1</v>
      </c>
      <c r="B2" s="381" t="s">
        <v>155</v>
      </c>
      <c r="C2" s="381"/>
      <c r="D2" s="381"/>
      <c r="E2" s="381"/>
      <c r="F2" s="381"/>
      <c r="G2" s="381"/>
    </row>
    <row r="4" spans="1:8" ht="28.5">
      <c r="B4" s="274" t="s">
        <v>145</v>
      </c>
      <c r="C4" s="274" t="s">
        <v>128</v>
      </c>
      <c r="D4" s="274" t="s">
        <v>133</v>
      </c>
      <c r="E4" s="274" t="s">
        <v>146</v>
      </c>
      <c r="F4" s="274" t="s">
        <v>147</v>
      </c>
      <c r="G4" s="274" t="s">
        <v>159</v>
      </c>
    </row>
    <row r="5" spans="1:8">
      <c r="B5" s="267">
        <v>1</v>
      </c>
      <c r="C5" s="267" t="s">
        <v>148</v>
      </c>
      <c r="D5" s="267" t="s">
        <v>149</v>
      </c>
      <c r="E5" s="268"/>
      <c r="F5" s="269"/>
      <c r="G5" s="250" t="s">
        <v>150</v>
      </c>
    </row>
    <row r="6" spans="1:8">
      <c r="B6" s="267">
        <v>2</v>
      </c>
      <c r="C6" s="267" t="s">
        <v>699</v>
      </c>
      <c r="D6" s="270" t="s">
        <v>656</v>
      </c>
      <c r="E6" s="271">
        <v>4000</v>
      </c>
      <c r="F6" s="272">
        <v>1250</v>
      </c>
      <c r="G6" s="273">
        <f>F6*E6</f>
        <v>5000000</v>
      </c>
    </row>
    <row r="7" spans="1:8">
      <c r="B7" s="267">
        <v>3</v>
      </c>
      <c r="C7" s="267" t="s">
        <v>698</v>
      </c>
      <c r="D7" s="270" t="s">
        <v>656</v>
      </c>
      <c r="E7" s="271">
        <v>3000</v>
      </c>
      <c r="F7" s="272">
        <v>1250</v>
      </c>
      <c r="G7" s="273">
        <f t="shared" ref="G7" si="0">E7*F7</f>
        <v>3750000</v>
      </c>
    </row>
    <row r="8" spans="1:8">
      <c r="B8" s="267"/>
      <c r="C8" s="267"/>
      <c r="D8" s="270"/>
      <c r="E8" s="271"/>
      <c r="F8" s="272"/>
      <c r="G8" s="273"/>
    </row>
    <row r="9" spans="1:8">
      <c r="B9" s="267"/>
      <c r="C9" s="267"/>
      <c r="D9" s="270"/>
      <c r="E9" s="271"/>
      <c r="F9" s="272"/>
      <c r="G9" s="273">
        <f t="shared" ref="G9:G11" si="1">E9*F9</f>
        <v>0</v>
      </c>
    </row>
    <row r="10" spans="1:8">
      <c r="B10" s="267"/>
      <c r="C10" s="267"/>
      <c r="D10" s="270"/>
      <c r="E10" s="271"/>
      <c r="F10" s="272"/>
      <c r="G10" s="273">
        <f t="shared" si="1"/>
        <v>0</v>
      </c>
    </row>
    <row r="11" spans="1:8">
      <c r="B11" s="267"/>
      <c r="C11" s="267"/>
      <c r="D11" s="270"/>
      <c r="E11" s="271"/>
      <c r="F11" s="272"/>
      <c r="G11" s="273">
        <f t="shared" si="1"/>
        <v>0</v>
      </c>
    </row>
    <row r="12" spans="1:8">
      <c r="B12" s="386" t="s">
        <v>1</v>
      </c>
      <c r="C12" s="386"/>
      <c r="D12" s="386"/>
      <c r="E12" s="386"/>
      <c r="F12" s="386"/>
      <c r="G12" s="175">
        <f>SUM(G6:G11)</f>
        <v>8750000</v>
      </c>
    </row>
    <row r="15" spans="1:8" ht="18.75">
      <c r="A15">
        <v>2.2000000000000002</v>
      </c>
      <c r="B15" s="381" t="s">
        <v>156</v>
      </c>
      <c r="C15" s="381"/>
      <c r="D15" s="381"/>
      <c r="E15" s="381"/>
      <c r="F15" s="381"/>
      <c r="G15" s="381"/>
      <c r="H15" s="381"/>
    </row>
    <row r="16" spans="1:8">
      <c r="B16" s="13"/>
    </row>
    <row r="17" spans="2:9" ht="42.75">
      <c r="B17" s="274" t="s">
        <v>145</v>
      </c>
      <c r="C17" s="274" t="s">
        <v>151</v>
      </c>
      <c r="D17" s="274" t="s">
        <v>162</v>
      </c>
      <c r="E17" s="274" t="s">
        <v>152</v>
      </c>
      <c r="F17" s="274" t="s">
        <v>153</v>
      </c>
      <c r="G17" s="274" t="s">
        <v>159</v>
      </c>
      <c r="H17" s="274" t="s">
        <v>154</v>
      </c>
    </row>
    <row r="18" spans="2:9">
      <c r="B18" s="276"/>
      <c r="C18" s="288"/>
      <c r="D18" s="288"/>
      <c r="E18" s="288"/>
      <c r="F18" s="288"/>
      <c r="G18" s="278"/>
      <c r="H18" s="288"/>
    </row>
    <row r="19" spans="2:9">
      <c r="B19" s="274" t="s">
        <v>173</v>
      </c>
      <c r="C19" s="275" t="s">
        <v>359</v>
      </c>
      <c r="D19" s="275"/>
      <c r="E19" s="274"/>
      <c r="F19" s="290"/>
      <c r="G19" s="278">
        <f t="shared" ref="G19" si="2">E19*F19</f>
        <v>0</v>
      </c>
      <c r="H19" s="291"/>
    </row>
    <row r="20" spans="2:9">
      <c r="B20" s="387" t="s">
        <v>171</v>
      </c>
      <c r="C20" s="387"/>
      <c r="D20" s="274"/>
      <c r="E20" s="274"/>
      <c r="F20" s="279">
        <v>0</v>
      </c>
      <c r="G20" s="278">
        <f>SUM(G19:G19)</f>
        <v>0</v>
      </c>
      <c r="H20" s="278">
        <f>SUM(H19:H19)</f>
        <v>0</v>
      </c>
    </row>
    <row r="21" spans="2:9">
      <c r="B21" s="274" t="s">
        <v>174</v>
      </c>
      <c r="C21" s="275" t="s">
        <v>360</v>
      </c>
      <c r="D21" s="276"/>
      <c r="E21" s="276"/>
      <c r="F21" s="278"/>
      <c r="G21" s="278">
        <f t="shared" ref="G21" si="3">E21*F21</f>
        <v>0</v>
      </c>
      <c r="H21" s="288"/>
    </row>
    <row r="22" spans="2:9">
      <c r="B22" s="387" t="s">
        <v>171</v>
      </c>
      <c r="C22" s="387"/>
      <c r="D22" s="270"/>
      <c r="E22" s="276"/>
      <c r="F22" s="278">
        <v>0</v>
      </c>
      <c r="G22" s="278">
        <f>SUM(G21:G21)</f>
        <v>0</v>
      </c>
      <c r="H22" s="278">
        <f>SUM(H21:H21)</f>
        <v>0</v>
      </c>
    </row>
    <row r="23" spans="2:9">
      <c r="B23" s="274"/>
      <c r="C23" s="274"/>
      <c r="D23" s="270"/>
      <c r="E23" s="276"/>
      <c r="F23" s="278"/>
      <c r="G23" s="278"/>
      <c r="H23" s="278"/>
    </row>
    <row r="24" spans="2:9">
      <c r="B24" s="274" t="s">
        <v>175</v>
      </c>
      <c r="C24" s="274" t="s">
        <v>507</v>
      </c>
      <c r="D24" s="270"/>
      <c r="E24" s="276"/>
      <c r="F24" s="278"/>
      <c r="G24" s="278">
        <f>E24*F24</f>
        <v>0</v>
      </c>
      <c r="H24" s="278"/>
    </row>
    <row r="25" spans="2:9">
      <c r="B25" s="276">
        <v>1</v>
      </c>
      <c r="C25" s="289" t="s">
        <v>751</v>
      </c>
      <c r="D25" s="270"/>
      <c r="E25" s="276">
        <v>1</v>
      </c>
      <c r="F25" s="278">
        <v>383500</v>
      </c>
      <c r="G25" s="278">
        <f>F25*E25</f>
        <v>383500</v>
      </c>
      <c r="H25" s="278"/>
    </row>
    <row r="26" spans="2:9">
      <c r="B26" s="276">
        <v>2</v>
      </c>
      <c r="C26" s="289" t="s">
        <v>752</v>
      </c>
      <c r="D26" s="270" t="s">
        <v>753</v>
      </c>
      <c r="E26" s="276">
        <v>3</v>
      </c>
      <c r="F26" s="278">
        <v>129800</v>
      </c>
      <c r="G26" s="278">
        <f t="shared" ref="G26:G33" si="4">F26*E26</f>
        <v>389400</v>
      </c>
      <c r="H26" s="278"/>
    </row>
    <row r="27" spans="2:9">
      <c r="B27" s="276">
        <v>3</v>
      </c>
      <c r="C27" s="289" t="s">
        <v>700</v>
      </c>
      <c r="D27" s="270" t="s">
        <v>701</v>
      </c>
      <c r="E27" s="276">
        <v>1</v>
      </c>
      <c r="F27" s="278">
        <v>442500</v>
      </c>
      <c r="G27" s="278">
        <f t="shared" si="4"/>
        <v>442500</v>
      </c>
      <c r="H27" s="278">
        <f t="shared" ref="H27:H55" si="5">I27</f>
        <v>0.75</v>
      </c>
      <c r="I27" s="261">
        <v>0.75</v>
      </c>
    </row>
    <row r="28" spans="2:9">
      <c r="B28" s="276">
        <v>4</v>
      </c>
      <c r="C28" s="289" t="s">
        <v>697</v>
      </c>
      <c r="D28" s="270" t="s">
        <v>667</v>
      </c>
      <c r="E28" s="276">
        <v>1</v>
      </c>
      <c r="F28" s="278">
        <v>177000</v>
      </c>
      <c r="G28" s="278">
        <f t="shared" si="4"/>
        <v>177000</v>
      </c>
      <c r="H28" s="278">
        <v>0</v>
      </c>
    </row>
    <row r="29" spans="2:9">
      <c r="B29" s="276">
        <v>5</v>
      </c>
      <c r="C29" s="289" t="s">
        <v>697</v>
      </c>
      <c r="D29" s="270" t="s">
        <v>756</v>
      </c>
      <c r="E29" s="276">
        <v>1</v>
      </c>
      <c r="F29" s="278">
        <v>103840</v>
      </c>
      <c r="G29" s="278">
        <f t="shared" si="4"/>
        <v>103840</v>
      </c>
      <c r="H29" s="278">
        <v>0</v>
      </c>
    </row>
    <row r="30" spans="2:9">
      <c r="B30" s="276">
        <v>6</v>
      </c>
      <c r="C30" s="289" t="s">
        <v>676</v>
      </c>
      <c r="D30" s="270" t="s">
        <v>657</v>
      </c>
      <c r="E30" s="276">
        <v>1</v>
      </c>
      <c r="F30" s="278">
        <v>218300</v>
      </c>
      <c r="G30" s="278">
        <f t="shared" si="4"/>
        <v>218300</v>
      </c>
      <c r="H30" s="278">
        <f t="shared" si="5"/>
        <v>3</v>
      </c>
      <c r="I30">
        <v>3</v>
      </c>
    </row>
    <row r="31" spans="2:9">
      <c r="B31" s="276">
        <v>7</v>
      </c>
      <c r="C31" s="289" t="s">
        <v>677</v>
      </c>
      <c r="D31" s="270" t="s">
        <v>658</v>
      </c>
      <c r="E31" s="276">
        <v>2</v>
      </c>
      <c r="F31" s="278">
        <v>141600</v>
      </c>
      <c r="G31" s="278">
        <f t="shared" si="4"/>
        <v>283200</v>
      </c>
      <c r="H31" s="278">
        <f t="shared" si="5"/>
        <v>1.5</v>
      </c>
      <c r="I31">
        <v>1.5</v>
      </c>
    </row>
    <row r="32" spans="2:9">
      <c r="B32" s="276">
        <v>8</v>
      </c>
      <c r="C32" s="289" t="s">
        <v>677</v>
      </c>
      <c r="D32" s="270" t="s">
        <v>659</v>
      </c>
      <c r="E32" s="276">
        <v>2</v>
      </c>
      <c r="F32" s="278">
        <v>118000</v>
      </c>
      <c r="G32" s="278">
        <f t="shared" si="4"/>
        <v>236000</v>
      </c>
      <c r="H32" s="278">
        <f t="shared" si="5"/>
        <v>1.5</v>
      </c>
      <c r="I32">
        <v>1.5</v>
      </c>
    </row>
    <row r="33" spans="2:9">
      <c r="B33" s="276">
        <v>9</v>
      </c>
      <c r="C33" s="289" t="s">
        <v>678</v>
      </c>
      <c r="D33" s="270" t="s">
        <v>664</v>
      </c>
      <c r="E33" s="276">
        <v>1</v>
      </c>
      <c r="F33" s="278">
        <v>141600</v>
      </c>
      <c r="G33" s="278">
        <f t="shared" si="4"/>
        <v>141600</v>
      </c>
      <c r="H33" s="278">
        <f t="shared" si="5"/>
        <v>0.5</v>
      </c>
      <c r="I33">
        <v>0.5</v>
      </c>
    </row>
    <row r="34" spans="2:9">
      <c r="B34" s="276">
        <v>10</v>
      </c>
      <c r="C34" s="289" t="s">
        <v>679</v>
      </c>
      <c r="D34" s="270" t="s">
        <v>657</v>
      </c>
      <c r="E34" s="276">
        <v>1</v>
      </c>
      <c r="F34" s="278">
        <v>413000</v>
      </c>
      <c r="G34" s="278">
        <f t="shared" ref="G34:G58" si="6">E34*F34</f>
        <v>413000</v>
      </c>
      <c r="H34" s="278">
        <f t="shared" si="5"/>
        <v>4</v>
      </c>
      <c r="I34">
        <v>4</v>
      </c>
    </row>
    <row r="35" spans="2:9">
      <c r="B35" s="276">
        <v>11</v>
      </c>
      <c r="C35" s="289" t="s">
        <v>696</v>
      </c>
      <c r="D35" s="289">
        <v>50</v>
      </c>
      <c r="E35" s="276">
        <v>1</v>
      </c>
      <c r="F35" s="278">
        <v>141600</v>
      </c>
      <c r="G35" s="278">
        <f>E35*F35</f>
        <v>141600</v>
      </c>
      <c r="H35" s="278">
        <f t="shared" si="5"/>
        <v>1</v>
      </c>
      <c r="I35" s="261">
        <v>1</v>
      </c>
    </row>
    <row r="36" spans="2:9">
      <c r="B36" s="276">
        <v>12</v>
      </c>
      <c r="C36" s="289" t="s">
        <v>675</v>
      </c>
      <c r="D36" s="270" t="s">
        <v>660</v>
      </c>
      <c r="E36" s="276">
        <v>1</v>
      </c>
      <c r="F36" s="278">
        <v>236000</v>
      </c>
      <c r="G36" s="278">
        <f t="shared" si="6"/>
        <v>236000</v>
      </c>
      <c r="H36" s="278">
        <f t="shared" si="5"/>
        <v>0.25</v>
      </c>
      <c r="I36">
        <v>0.25</v>
      </c>
    </row>
    <row r="37" spans="2:9">
      <c r="B37" s="276">
        <v>13</v>
      </c>
      <c r="C37" s="289" t="s">
        <v>663</v>
      </c>
      <c r="D37" s="270"/>
      <c r="E37" s="276">
        <v>1</v>
      </c>
      <c r="F37" s="278">
        <v>389400</v>
      </c>
      <c r="G37" s="278">
        <f>E37*F37</f>
        <v>389400</v>
      </c>
      <c r="H37" s="278">
        <f t="shared" si="5"/>
        <v>10</v>
      </c>
      <c r="I37">
        <v>10</v>
      </c>
    </row>
    <row r="38" spans="2:9">
      <c r="B38" s="276">
        <v>14</v>
      </c>
      <c r="C38" s="289" t="s">
        <v>661</v>
      </c>
      <c r="D38" s="270" t="s">
        <v>702</v>
      </c>
      <c r="E38" s="276">
        <v>1</v>
      </c>
      <c r="F38" s="278">
        <v>88500</v>
      </c>
      <c r="G38" s="278">
        <f t="shared" si="6"/>
        <v>88500</v>
      </c>
      <c r="H38" s="278">
        <f t="shared" si="5"/>
        <v>1</v>
      </c>
      <c r="I38">
        <v>1</v>
      </c>
    </row>
    <row r="39" spans="2:9">
      <c r="B39" s="276">
        <v>15</v>
      </c>
      <c r="C39" s="289" t="s">
        <v>662</v>
      </c>
      <c r="D39" s="270"/>
      <c r="E39" s="276">
        <v>2</v>
      </c>
      <c r="F39" s="278">
        <v>38940</v>
      </c>
      <c r="G39" s="278">
        <f t="shared" si="6"/>
        <v>77880</v>
      </c>
      <c r="H39" s="278">
        <f t="shared" si="5"/>
        <v>0</v>
      </c>
    </row>
    <row r="40" spans="2:9">
      <c r="B40" s="276">
        <v>16</v>
      </c>
      <c r="C40" s="289" t="s">
        <v>758</v>
      </c>
      <c r="D40" s="270" t="s">
        <v>757</v>
      </c>
      <c r="E40" s="276">
        <v>1</v>
      </c>
      <c r="F40" s="278">
        <v>147500</v>
      </c>
      <c r="G40" s="278">
        <f t="shared" si="6"/>
        <v>147500</v>
      </c>
      <c r="H40" s="278"/>
    </row>
    <row r="41" spans="2:9">
      <c r="B41" s="276">
        <v>17</v>
      </c>
      <c r="C41" s="289" t="s">
        <v>682</v>
      </c>
      <c r="D41" s="270" t="s">
        <v>702</v>
      </c>
      <c r="E41" s="276">
        <v>1</v>
      </c>
      <c r="F41" s="278">
        <v>862400</v>
      </c>
      <c r="G41" s="278">
        <f t="shared" si="6"/>
        <v>862400</v>
      </c>
      <c r="H41" s="278">
        <f t="shared" si="5"/>
        <v>4</v>
      </c>
      <c r="I41">
        <v>4</v>
      </c>
    </row>
    <row r="42" spans="2:9">
      <c r="B42" s="276">
        <v>18</v>
      </c>
      <c r="C42" s="289" t="s">
        <v>683</v>
      </c>
      <c r="D42" s="270"/>
      <c r="E42" s="276">
        <v>1</v>
      </c>
      <c r="F42" s="278">
        <v>35400</v>
      </c>
      <c r="G42" s="278">
        <f t="shared" si="6"/>
        <v>35400</v>
      </c>
      <c r="H42" s="278">
        <f t="shared" si="5"/>
        <v>0.75</v>
      </c>
      <c r="I42">
        <v>0.75</v>
      </c>
    </row>
    <row r="43" spans="2:9">
      <c r="B43" s="276">
        <v>19</v>
      </c>
      <c r="C43" s="289" t="s">
        <v>665</v>
      </c>
      <c r="D43" s="270" t="s">
        <v>666</v>
      </c>
      <c r="E43" s="276">
        <v>1</v>
      </c>
      <c r="F43" s="278">
        <v>650000</v>
      </c>
      <c r="G43" s="278">
        <f t="shared" si="6"/>
        <v>650000</v>
      </c>
      <c r="H43" s="278">
        <f t="shared" si="5"/>
        <v>0</v>
      </c>
    </row>
    <row r="44" spans="2:9">
      <c r="B44" s="276">
        <v>20</v>
      </c>
      <c r="C44" s="289" t="s">
        <v>770</v>
      </c>
      <c r="D44" s="270" t="s">
        <v>769</v>
      </c>
      <c r="E44" s="276">
        <v>1</v>
      </c>
      <c r="F44" s="278">
        <v>201612</v>
      </c>
      <c r="G44" s="278">
        <f>E44*F44</f>
        <v>201612</v>
      </c>
      <c r="H44" s="278">
        <f t="shared" si="5"/>
        <v>1.5</v>
      </c>
      <c r="I44">
        <v>1.5</v>
      </c>
    </row>
    <row r="45" spans="2:9">
      <c r="B45" s="276">
        <v>21</v>
      </c>
      <c r="C45" s="289" t="s">
        <v>767</v>
      </c>
      <c r="D45" s="270" t="s">
        <v>768</v>
      </c>
      <c r="E45" s="276">
        <v>20</v>
      </c>
      <c r="F45" s="278">
        <v>5000</v>
      </c>
      <c r="G45" s="278">
        <f>E45*F45</f>
        <v>100000</v>
      </c>
      <c r="H45" s="278"/>
    </row>
    <row r="46" spans="2:9">
      <c r="B46" s="276">
        <v>22</v>
      </c>
      <c r="C46" s="289" t="s">
        <v>759</v>
      </c>
      <c r="D46" s="270"/>
      <c r="E46" s="276">
        <v>10</v>
      </c>
      <c r="F46" s="278">
        <v>15000</v>
      </c>
      <c r="G46" s="278">
        <f>E46*F46</f>
        <v>150000</v>
      </c>
      <c r="H46" s="278"/>
    </row>
    <row r="47" spans="2:9">
      <c r="B47" s="276">
        <v>23</v>
      </c>
      <c r="C47" s="289" t="s">
        <v>680</v>
      </c>
      <c r="D47" s="270"/>
      <c r="E47" s="276">
        <v>1</v>
      </c>
      <c r="F47" s="278">
        <v>935000</v>
      </c>
      <c r="G47" s="278">
        <f t="shared" si="6"/>
        <v>935000</v>
      </c>
      <c r="H47" s="278">
        <f t="shared" si="5"/>
        <v>0</v>
      </c>
    </row>
    <row r="48" spans="2:9">
      <c r="B48" s="276">
        <v>24</v>
      </c>
      <c r="C48" s="289" t="s">
        <v>681</v>
      </c>
      <c r="D48" s="270"/>
      <c r="E48" s="276">
        <v>1</v>
      </c>
      <c r="F48" s="278">
        <v>210000</v>
      </c>
      <c r="G48" s="278">
        <f>E48*F48</f>
        <v>210000</v>
      </c>
      <c r="H48" s="278">
        <f t="shared" si="5"/>
        <v>0</v>
      </c>
    </row>
    <row r="49" spans="2:9">
      <c r="B49" s="276">
        <v>25</v>
      </c>
      <c r="C49" s="289" t="s">
        <v>694</v>
      </c>
      <c r="D49" s="270" t="s">
        <v>702</v>
      </c>
      <c r="E49" s="276">
        <v>1</v>
      </c>
      <c r="F49" s="278">
        <v>250000</v>
      </c>
      <c r="G49" s="278">
        <f t="shared" si="6"/>
        <v>250000</v>
      </c>
      <c r="H49" s="278">
        <f t="shared" si="5"/>
        <v>0</v>
      </c>
    </row>
    <row r="50" spans="2:9">
      <c r="B50" s="276">
        <v>26</v>
      </c>
      <c r="C50" s="289" t="s">
        <v>693</v>
      </c>
      <c r="D50" s="270" t="s">
        <v>705</v>
      </c>
      <c r="E50" s="276">
        <v>1</v>
      </c>
      <c r="F50" s="278">
        <v>15200</v>
      </c>
      <c r="G50" s="278">
        <f t="shared" si="6"/>
        <v>15200</v>
      </c>
      <c r="H50" s="278">
        <f t="shared" si="5"/>
        <v>1</v>
      </c>
      <c r="I50">
        <v>1</v>
      </c>
    </row>
    <row r="51" spans="2:9">
      <c r="B51" s="276">
        <v>27</v>
      </c>
      <c r="C51" s="289" t="s">
        <v>685</v>
      </c>
      <c r="D51" s="270" t="s">
        <v>706</v>
      </c>
      <c r="E51" s="276">
        <v>1</v>
      </c>
      <c r="F51" s="278">
        <v>188800</v>
      </c>
      <c r="G51" s="278">
        <f t="shared" si="6"/>
        <v>188800</v>
      </c>
      <c r="H51" s="278">
        <f t="shared" si="5"/>
        <v>0</v>
      </c>
    </row>
    <row r="52" spans="2:9">
      <c r="B52" s="276">
        <v>28</v>
      </c>
      <c r="C52" s="289" t="s">
        <v>684</v>
      </c>
      <c r="D52" s="270" t="s">
        <v>703</v>
      </c>
      <c r="E52" s="276">
        <v>1</v>
      </c>
      <c r="F52" s="278">
        <v>102660</v>
      </c>
      <c r="G52" s="278">
        <f>E52*F52</f>
        <v>102660</v>
      </c>
      <c r="H52" s="278">
        <f t="shared" si="5"/>
        <v>1</v>
      </c>
      <c r="I52">
        <v>1</v>
      </c>
    </row>
    <row r="53" spans="2:9">
      <c r="B53" s="276">
        <v>29</v>
      </c>
      <c r="C53" s="289" t="s">
        <v>760</v>
      </c>
      <c r="D53" s="270" t="s">
        <v>761</v>
      </c>
      <c r="E53" s="276">
        <v>1</v>
      </c>
      <c r="F53" s="278">
        <v>120360</v>
      </c>
      <c r="G53" s="278">
        <f>E53*F53</f>
        <v>120360</v>
      </c>
      <c r="H53" s="278"/>
    </row>
    <row r="54" spans="2:9">
      <c r="B54" s="276">
        <v>30</v>
      </c>
      <c r="C54" s="289" t="s">
        <v>686</v>
      </c>
      <c r="D54" s="270" t="s">
        <v>704</v>
      </c>
      <c r="E54" s="276">
        <v>1</v>
      </c>
      <c r="F54" s="278">
        <v>57820</v>
      </c>
      <c r="G54" s="278">
        <f t="shared" si="6"/>
        <v>57820</v>
      </c>
      <c r="H54" s="278">
        <f t="shared" si="5"/>
        <v>0.5</v>
      </c>
      <c r="I54">
        <v>0.5</v>
      </c>
    </row>
    <row r="55" spans="2:9">
      <c r="B55" s="276">
        <v>31</v>
      </c>
      <c r="C55" s="289" t="s">
        <v>695</v>
      </c>
      <c r="D55" s="270"/>
      <c r="E55" s="276">
        <v>1</v>
      </c>
      <c r="F55" s="278">
        <v>182310</v>
      </c>
      <c r="G55" s="278">
        <f t="shared" si="6"/>
        <v>182310</v>
      </c>
      <c r="H55" s="278">
        <f t="shared" si="5"/>
        <v>0</v>
      </c>
    </row>
    <row r="56" spans="2:9">
      <c r="B56" s="276">
        <v>32</v>
      </c>
      <c r="C56" s="289" t="s">
        <v>754</v>
      </c>
      <c r="D56" s="270" t="s">
        <v>707</v>
      </c>
      <c r="E56" s="276">
        <v>1</v>
      </c>
      <c r="F56" s="278">
        <v>175820</v>
      </c>
      <c r="G56" s="278">
        <f t="shared" si="6"/>
        <v>175820</v>
      </c>
      <c r="H56" s="278"/>
    </row>
    <row r="57" spans="2:9" ht="30">
      <c r="B57" s="276">
        <v>33</v>
      </c>
      <c r="C57" s="289" t="s">
        <v>762</v>
      </c>
      <c r="D57" s="270" t="s">
        <v>707</v>
      </c>
      <c r="E57" s="276">
        <v>1</v>
      </c>
      <c r="F57" s="278">
        <v>887360</v>
      </c>
      <c r="G57" s="278">
        <f t="shared" si="6"/>
        <v>887360</v>
      </c>
      <c r="H57" s="278"/>
    </row>
    <row r="58" spans="2:9">
      <c r="B58" s="276">
        <v>34</v>
      </c>
      <c r="C58" s="289" t="s">
        <v>764</v>
      </c>
      <c r="D58" s="270" t="s">
        <v>766</v>
      </c>
      <c r="E58" s="276">
        <v>1</v>
      </c>
      <c r="F58" s="278">
        <v>128300</v>
      </c>
      <c r="G58" s="278">
        <f t="shared" si="6"/>
        <v>128300</v>
      </c>
      <c r="H58" s="278"/>
    </row>
    <row r="59" spans="2:9">
      <c r="B59" s="276">
        <v>35</v>
      </c>
      <c r="C59" s="270" t="s">
        <v>763</v>
      </c>
      <c r="D59" s="270" t="s">
        <v>765</v>
      </c>
      <c r="E59" s="276">
        <v>1</v>
      </c>
      <c r="F59" s="278">
        <v>250000</v>
      </c>
      <c r="G59" s="278">
        <f t="shared" ref="G59" si="7">E59*F59</f>
        <v>250000</v>
      </c>
      <c r="H59" s="288"/>
    </row>
    <row r="60" spans="2:9">
      <c r="B60" s="387" t="s">
        <v>171</v>
      </c>
      <c r="C60" s="387"/>
      <c r="D60" s="270"/>
      <c r="E60" s="276"/>
      <c r="F60" s="278"/>
      <c r="G60" s="278">
        <f>SUM(G24:G59)</f>
        <v>9372262</v>
      </c>
      <c r="H60" s="278">
        <f>SUM(H24:H59)</f>
        <v>32.25</v>
      </c>
    </row>
    <row r="61" spans="2:9">
      <c r="B61" s="276"/>
      <c r="C61" s="270"/>
      <c r="D61" s="270"/>
      <c r="E61" s="276"/>
      <c r="F61" s="278"/>
      <c r="G61" s="278"/>
      <c r="H61" s="288"/>
    </row>
    <row r="62" spans="2:9">
      <c r="B62" s="387" t="s">
        <v>1</v>
      </c>
      <c r="C62" s="387"/>
      <c r="D62" s="387"/>
      <c r="E62" s="387"/>
      <c r="F62" s="387"/>
      <c r="G62" s="279">
        <f>G22+G20+G60</f>
        <v>9372262</v>
      </c>
      <c r="H62" s="279">
        <f>H22+H20+H60</f>
        <v>32.25</v>
      </c>
    </row>
    <row r="63" spans="2:9">
      <c r="B63" s="13"/>
      <c r="G63" s="15"/>
    </row>
    <row r="64" spans="2:9">
      <c r="B64" s="384" t="s">
        <v>405</v>
      </c>
      <c r="C64" s="384"/>
      <c r="D64" s="384"/>
      <c r="E64" s="384"/>
      <c r="F64" s="384"/>
      <c r="G64" s="384"/>
      <c r="H64" s="384"/>
    </row>
    <row r="65" spans="1:11">
      <c r="B65" s="13"/>
      <c r="G65" s="15"/>
      <c r="I65" s="13"/>
      <c r="J65" s="13"/>
      <c r="K65" s="16"/>
    </row>
    <row r="68" spans="1:11" ht="18.75">
      <c r="A68">
        <v>2.2999999999999998</v>
      </c>
      <c r="B68" s="381" t="s">
        <v>371</v>
      </c>
      <c r="C68" s="381"/>
      <c r="D68" s="381"/>
      <c r="E68" s="381"/>
      <c r="F68" s="381"/>
    </row>
    <row r="70" spans="1:11" ht="30">
      <c r="B70" s="280" t="s">
        <v>145</v>
      </c>
      <c r="C70" s="281" t="s">
        <v>128</v>
      </c>
      <c r="D70" s="281" t="s">
        <v>152</v>
      </c>
      <c r="E70" s="281" t="s">
        <v>153</v>
      </c>
      <c r="F70" s="281" t="s">
        <v>159</v>
      </c>
    </row>
    <row r="71" spans="1:11">
      <c r="B71" s="282">
        <v>1</v>
      </c>
      <c r="C71" s="283" t="s">
        <v>668</v>
      </c>
      <c r="D71" s="282">
        <v>5</v>
      </c>
      <c r="E71" s="284">
        <v>5000</v>
      </c>
      <c r="F71" s="285">
        <f t="shared" ref="F71:F73" si="8">D71*E71</f>
        <v>25000</v>
      </c>
    </row>
    <row r="72" spans="1:11">
      <c r="B72" s="282"/>
      <c r="C72" s="283" t="s">
        <v>669</v>
      </c>
      <c r="D72" s="282">
        <v>15</v>
      </c>
      <c r="E72" s="284">
        <v>1000</v>
      </c>
      <c r="F72" s="285">
        <f t="shared" si="8"/>
        <v>15000</v>
      </c>
    </row>
    <row r="73" spans="1:11">
      <c r="B73" s="282"/>
      <c r="C73" s="283" t="s">
        <v>670</v>
      </c>
      <c r="D73" s="282">
        <v>5</v>
      </c>
      <c r="E73" s="284">
        <v>15000</v>
      </c>
      <c r="F73" s="285">
        <f t="shared" si="8"/>
        <v>75000</v>
      </c>
    </row>
    <row r="74" spans="1:11">
      <c r="B74" s="282"/>
      <c r="C74" s="283"/>
      <c r="D74" s="282"/>
      <c r="E74" s="284"/>
      <c r="F74" s="285">
        <f t="shared" ref="F74:F76" si="9">D74*E74</f>
        <v>0</v>
      </c>
    </row>
    <row r="75" spans="1:11">
      <c r="B75" s="282"/>
      <c r="C75" s="283"/>
      <c r="D75" s="282"/>
      <c r="E75" s="284"/>
      <c r="F75" s="285">
        <f t="shared" si="9"/>
        <v>0</v>
      </c>
    </row>
    <row r="76" spans="1:11">
      <c r="B76" s="282"/>
      <c r="C76" s="283"/>
      <c r="D76" s="282"/>
      <c r="E76" s="284"/>
      <c r="F76" s="285">
        <f t="shared" si="9"/>
        <v>0</v>
      </c>
    </row>
    <row r="77" spans="1:11">
      <c r="B77" s="390" t="s">
        <v>1</v>
      </c>
      <c r="C77" s="390"/>
      <c r="D77" s="390"/>
      <c r="E77" s="390"/>
      <c r="F77" s="286">
        <f>SUM(F71:F76)</f>
        <v>115000</v>
      </c>
    </row>
    <row r="79" spans="1:11">
      <c r="A79" s="384" t="s">
        <v>406</v>
      </c>
      <c r="B79" s="384"/>
      <c r="C79" s="384"/>
      <c r="D79" s="384"/>
      <c r="E79" s="384"/>
      <c r="F79" s="384"/>
      <c r="G79" s="384"/>
    </row>
    <row r="82" spans="1:7" ht="18.75">
      <c r="A82">
        <v>2.4</v>
      </c>
      <c r="B82" s="381" t="s">
        <v>370</v>
      </c>
      <c r="C82" s="381"/>
      <c r="D82" s="381"/>
      <c r="E82" s="381"/>
      <c r="F82" s="381"/>
    </row>
    <row r="84" spans="1:7" ht="30">
      <c r="B84" s="280" t="s">
        <v>145</v>
      </c>
      <c r="C84" s="281" t="s">
        <v>128</v>
      </c>
      <c r="D84" s="281" t="s">
        <v>152</v>
      </c>
      <c r="E84" s="281" t="s">
        <v>153</v>
      </c>
      <c r="F84" s="281" t="s">
        <v>159</v>
      </c>
    </row>
    <row r="85" spans="1:7">
      <c r="B85" s="282">
        <v>1</v>
      </c>
      <c r="C85" s="283" t="s">
        <v>690</v>
      </c>
      <c r="D85" s="282">
        <v>1</v>
      </c>
      <c r="E85" s="284">
        <v>40000</v>
      </c>
      <c r="F85" s="285">
        <f t="shared" ref="F85:F91" si="10">D85*E85</f>
        <v>40000</v>
      </c>
    </row>
    <row r="86" spans="1:7">
      <c r="B86" s="282">
        <v>2</v>
      </c>
      <c r="C86" s="283" t="s">
        <v>691</v>
      </c>
      <c r="D86" s="282">
        <v>1</v>
      </c>
      <c r="E86" s="284">
        <v>15500</v>
      </c>
      <c r="F86" s="285">
        <f t="shared" si="10"/>
        <v>15500</v>
      </c>
    </row>
    <row r="87" spans="1:7">
      <c r="B87" s="282">
        <v>3</v>
      </c>
      <c r="C87" s="283" t="s">
        <v>688</v>
      </c>
      <c r="D87" s="282">
        <v>1</v>
      </c>
      <c r="E87" s="284">
        <v>23500</v>
      </c>
      <c r="F87" s="285">
        <f t="shared" si="10"/>
        <v>23500</v>
      </c>
    </row>
    <row r="88" spans="1:7">
      <c r="B88" s="282">
        <v>4</v>
      </c>
      <c r="C88" s="283" t="s">
        <v>692</v>
      </c>
      <c r="D88" s="282">
        <v>1</v>
      </c>
      <c r="E88" s="284">
        <v>1500</v>
      </c>
      <c r="F88" s="285">
        <f t="shared" si="10"/>
        <v>1500</v>
      </c>
    </row>
    <row r="89" spans="1:7">
      <c r="B89" s="282">
        <v>5</v>
      </c>
      <c r="C89" s="283" t="s">
        <v>671</v>
      </c>
      <c r="D89" s="282">
        <v>1</v>
      </c>
      <c r="E89" s="284">
        <v>500</v>
      </c>
      <c r="F89" s="285">
        <f t="shared" si="10"/>
        <v>500</v>
      </c>
    </row>
    <row r="90" spans="1:7">
      <c r="B90" s="282">
        <v>6</v>
      </c>
      <c r="C90" s="283" t="s">
        <v>672</v>
      </c>
      <c r="D90" s="282">
        <v>1</v>
      </c>
      <c r="E90" s="284">
        <v>17600</v>
      </c>
      <c r="F90" s="285">
        <f t="shared" si="10"/>
        <v>17600</v>
      </c>
    </row>
    <row r="91" spans="1:7">
      <c r="B91" s="282">
        <v>7</v>
      </c>
      <c r="C91" s="283" t="s">
        <v>689</v>
      </c>
      <c r="D91" s="282">
        <v>1</v>
      </c>
      <c r="E91" s="284">
        <v>45000</v>
      </c>
      <c r="F91" s="285">
        <f t="shared" si="10"/>
        <v>45000</v>
      </c>
    </row>
    <row r="92" spans="1:7">
      <c r="B92" s="390" t="s">
        <v>1</v>
      </c>
      <c r="C92" s="390"/>
      <c r="D92" s="390"/>
      <c r="E92" s="390"/>
      <c r="F92" s="286">
        <f>SUM(F85:F91)</f>
        <v>143600</v>
      </c>
    </row>
    <row r="94" spans="1:7">
      <c r="A94" s="384" t="s">
        <v>406</v>
      </c>
      <c r="B94" s="384"/>
      <c r="C94" s="384"/>
      <c r="D94" s="384"/>
      <c r="E94" s="384"/>
      <c r="F94" s="384"/>
      <c r="G94" s="384"/>
    </row>
    <row r="97" spans="1:7" ht="18.75">
      <c r="A97">
        <v>2.5</v>
      </c>
      <c r="B97" s="381" t="s">
        <v>755</v>
      </c>
      <c r="C97" s="381"/>
      <c r="D97" s="381"/>
      <c r="E97" s="381"/>
      <c r="F97" s="381"/>
    </row>
    <row r="99" spans="1:7" ht="28.5">
      <c r="B99" s="275" t="s">
        <v>145</v>
      </c>
      <c r="C99" s="274" t="s">
        <v>128</v>
      </c>
      <c r="D99" s="274" t="s">
        <v>152</v>
      </c>
      <c r="E99" s="274" t="s">
        <v>153</v>
      </c>
      <c r="F99" s="274" t="s">
        <v>159</v>
      </c>
    </row>
    <row r="100" spans="1:7">
      <c r="B100" s="276">
        <v>1</v>
      </c>
      <c r="C100" s="270" t="s">
        <v>673</v>
      </c>
      <c r="D100" s="276">
        <v>1</v>
      </c>
      <c r="E100" s="277">
        <v>0</v>
      </c>
      <c r="F100" s="278">
        <v>1621463</v>
      </c>
    </row>
    <row r="101" spans="1:7">
      <c r="B101" s="276"/>
      <c r="C101" s="270"/>
      <c r="D101" s="276"/>
      <c r="E101" s="277"/>
      <c r="F101" s="278">
        <f>E101*D101</f>
        <v>0</v>
      </c>
    </row>
    <row r="102" spans="1:7">
      <c r="B102" s="276"/>
      <c r="C102" s="270"/>
      <c r="D102" s="276"/>
      <c r="E102" s="277"/>
      <c r="F102" s="278">
        <f>E102*D102</f>
        <v>0</v>
      </c>
    </row>
    <row r="103" spans="1:7">
      <c r="B103" s="387" t="s">
        <v>1</v>
      </c>
      <c r="C103" s="387"/>
      <c r="D103" s="387"/>
      <c r="E103" s="387"/>
      <c r="F103" s="279">
        <f>SUM(F100:F102)</f>
        <v>1621463</v>
      </c>
    </row>
    <row r="104" spans="1:7">
      <c r="A104" s="389" t="s">
        <v>442</v>
      </c>
      <c r="B104" s="389"/>
      <c r="C104" s="389"/>
      <c r="D104" s="389"/>
      <c r="E104" s="389"/>
      <c r="F104" s="389"/>
      <c r="G104" s="389"/>
    </row>
    <row r="107" spans="1:7" ht="18.75">
      <c r="A107">
        <v>2.6</v>
      </c>
      <c r="B107" s="381" t="s">
        <v>255</v>
      </c>
      <c r="C107" s="381"/>
      <c r="D107" s="381"/>
    </row>
    <row r="109" spans="1:7" ht="28.5">
      <c r="B109" s="275" t="s">
        <v>145</v>
      </c>
      <c r="C109" s="274" t="s">
        <v>128</v>
      </c>
      <c r="D109" s="274" t="s">
        <v>369</v>
      </c>
    </row>
    <row r="110" spans="1:7">
      <c r="B110" s="287">
        <v>1</v>
      </c>
      <c r="C110" s="270" t="s">
        <v>674</v>
      </c>
      <c r="D110" s="278">
        <v>630000</v>
      </c>
    </row>
    <row r="111" spans="1:7">
      <c r="B111" s="287">
        <v>2</v>
      </c>
      <c r="C111" s="270"/>
      <c r="D111" s="278"/>
    </row>
    <row r="112" spans="1:7">
      <c r="B112" s="287">
        <v>3</v>
      </c>
      <c r="C112" s="270"/>
      <c r="D112" s="278"/>
    </row>
    <row r="113" spans="1:5">
      <c r="B113" s="287"/>
      <c r="C113" s="270"/>
      <c r="D113" s="278"/>
    </row>
    <row r="114" spans="1:5">
      <c r="B114" s="287"/>
      <c r="C114" s="270"/>
      <c r="D114" s="278"/>
    </row>
    <row r="115" spans="1:5">
      <c r="B115" s="387" t="s">
        <v>1</v>
      </c>
      <c r="C115" s="387"/>
      <c r="D115" s="279">
        <f>SUM(D110:D114)</f>
        <v>630000</v>
      </c>
    </row>
    <row r="117" spans="1:5" ht="26.1" customHeight="1">
      <c r="A117" s="388" t="s">
        <v>443</v>
      </c>
      <c r="B117" s="388"/>
      <c r="C117" s="388"/>
      <c r="D117" s="388"/>
      <c r="E117" s="388"/>
    </row>
  </sheetData>
  <mergeCells count="20">
    <mergeCell ref="B115:C115"/>
    <mergeCell ref="A117:E117"/>
    <mergeCell ref="B60:C60"/>
    <mergeCell ref="A94:G94"/>
    <mergeCell ref="B103:E103"/>
    <mergeCell ref="B97:F97"/>
    <mergeCell ref="A104:G104"/>
    <mergeCell ref="B107:D107"/>
    <mergeCell ref="B77:E77"/>
    <mergeCell ref="B68:F68"/>
    <mergeCell ref="A79:G79"/>
    <mergeCell ref="B82:F82"/>
    <mergeCell ref="B92:E92"/>
    <mergeCell ref="B12:F12"/>
    <mergeCell ref="B2:G2"/>
    <mergeCell ref="B64:H64"/>
    <mergeCell ref="B62:F62"/>
    <mergeCell ref="B15:H15"/>
    <mergeCell ref="B20:C20"/>
    <mergeCell ref="B22:C22"/>
  </mergeCell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dimension ref="A2:Q104"/>
  <sheetViews>
    <sheetView view="pageBreakPreview" topLeftCell="A79" zoomScale="80" zoomScaleSheetLayoutView="80" workbookViewId="0">
      <selection activeCell="L27" sqref="L27"/>
    </sheetView>
  </sheetViews>
  <sheetFormatPr defaultRowHeight="15"/>
  <cols>
    <col min="1" max="1" width="41.28515625" customWidth="1"/>
    <col min="2" max="2" width="14.5703125" bestFit="1" customWidth="1"/>
    <col min="3" max="4" width="13" bestFit="1" customWidth="1"/>
    <col min="5" max="5" width="13.5703125" customWidth="1"/>
    <col min="6" max="6" width="13.28515625" customWidth="1"/>
    <col min="7" max="8" width="14.28515625" customWidth="1"/>
    <col min="9" max="9" width="14.140625" customWidth="1"/>
    <col min="10" max="10" width="11.28515625" customWidth="1"/>
    <col min="11" max="11" width="14.7109375" customWidth="1"/>
    <col min="12" max="17" width="13" bestFit="1" customWidth="1"/>
  </cols>
  <sheetData>
    <row r="2" spans="1:11" ht="18.75">
      <c r="A2" s="381" t="s">
        <v>527</v>
      </c>
      <c r="B2" s="381"/>
      <c r="C2" s="381"/>
      <c r="D2" s="381"/>
      <c r="E2" s="381"/>
      <c r="F2" s="381"/>
      <c r="G2" s="381"/>
      <c r="H2" s="381"/>
      <c r="I2" s="381"/>
      <c r="J2" s="381"/>
      <c r="K2" s="381"/>
    </row>
    <row r="4" spans="1:11">
      <c r="A4" s="67"/>
      <c r="B4" s="67"/>
      <c r="C4" s="67"/>
      <c r="D4" s="67"/>
      <c r="E4" s="141">
        <v>1</v>
      </c>
      <c r="F4" s="139">
        <f>(E4*5%)+E4</f>
        <v>1.05</v>
      </c>
      <c r="G4" s="139">
        <f t="shared" ref="G4:K4" si="0">(F4*5%)+F4</f>
        <v>1.1025</v>
      </c>
      <c r="H4" s="139">
        <f t="shared" si="0"/>
        <v>1.1576250000000001</v>
      </c>
      <c r="I4" s="139">
        <f t="shared" si="0"/>
        <v>1.2155062500000002</v>
      </c>
      <c r="J4" s="139">
        <f t="shared" si="0"/>
        <v>1.2762815625000004</v>
      </c>
      <c r="K4" s="139">
        <f t="shared" si="0"/>
        <v>1.3400956406250004</v>
      </c>
    </row>
    <row r="5" spans="1:11">
      <c r="A5" s="67"/>
      <c r="B5" s="67"/>
      <c r="C5" s="67"/>
      <c r="D5" s="67"/>
      <c r="E5" s="67"/>
      <c r="F5" s="67"/>
      <c r="G5" s="67"/>
      <c r="H5" s="67"/>
      <c r="I5" s="67"/>
      <c r="J5" s="67"/>
      <c r="K5" s="67"/>
    </row>
    <row r="6" spans="1:11">
      <c r="A6" s="291"/>
      <c r="B6" s="291" t="s">
        <v>133</v>
      </c>
      <c r="C6" s="291" t="s">
        <v>386</v>
      </c>
      <c r="D6" s="291" t="s">
        <v>288</v>
      </c>
      <c r="E6" s="300" t="s">
        <v>2</v>
      </c>
      <c r="F6" s="300" t="s">
        <v>3</v>
      </c>
      <c r="G6" s="300" t="s">
        <v>4</v>
      </c>
      <c r="H6" s="300" t="s">
        <v>5</v>
      </c>
      <c r="I6" s="300" t="s">
        <v>6</v>
      </c>
      <c r="J6" s="300" t="s">
        <v>169</v>
      </c>
      <c r="K6" s="300" t="s">
        <v>168</v>
      </c>
    </row>
    <row r="7" spans="1:11">
      <c r="A7" s="68"/>
      <c r="B7" s="68"/>
      <c r="C7" s="68"/>
      <c r="D7" s="68"/>
      <c r="E7" s="68"/>
      <c r="F7" s="68"/>
      <c r="G7" s="68"/>
      <c r="H7" s="68"/>
      <c r="I7" s="68"/>
      <c r="J7" s="68"/>
      <c r="K7" s="68"/>
    </row>
    <row r="8" spans="1:11">
      <c r="A8" s="68" t="s">
        <v>326</v>
      </c>
      <c r="B8" s="68" t="s">
        <v>387</v>
      </c>
      <c r="C8" s="288">
        <v>1</v>
      </c>
      <c r="D8" s="152">
        <v>35000</v>
      </c>
      <c r="E8" s="69">
        <f>$C8*$D8*12*E$4</f>
        <v>420000</v>
      </c>
      <c r="F8" s="69">
        <f t="shared" ref="F8:K8" si="1">$C8*$D8*12*F$4</f>
        <v>441000</v>
      </c>
      <c r="G8" s="69">
        <f t="shared" si="1"/>
        <v>463050</v>
      </c>
      <c r="H8" s="69">
        <f t="shared" si="1"/>
        <v>486202.50000000006</v>
      </c>
      <c r="I8" s="69">
        <f t="shared" si="1"/>
        <v>510512.62500000012</v>
      </c>
      <c r="J8" s="69">
        <f t="shared" si="1"/>
        <v>536038.25625000009</v>
      </c>
      <c r="K8" s="69">
        <f t="shared" si="1"/>
        <v>562840.16906250012</v>
      </c>
    </row>
    <row r="9" spans="1:11">
      <c r="A9" s="68" t="s">
        <v>189</v>
      </c>
      <c r="B9" s="68" t="s">
        <v>387</v>
      </c>
      <c r="C9" s="288">
        <v>2</v>
      </c>
      <c r="D9" s="152">
        <v>20000</v>
      </c>
      <c r="E9" s="69">
        <f>$C9*$D9*12*E$4</f>
        <v>480000</v>
      </c>
      <c r="F9" s="69">
        <f t="shared" ref="F9:K10" si="2">$C9*$D9*12*F$4</f>
        <v>504000</v>
      </c>
      <c r="G9" s="69">
        <f t="shared" si="2"/>
        <v>529200</v>
      </c>
      <c r="H9" s="69">
        <f t="shared" si="2"/>
        <v>555660.00000000012</v>
      </c>
      <c r="I9" s="69">
        <f t="shared" si="2"/>
        <v>583443.00000000012</v>
      </c>
      <c r="J9" s="69">
        <f t="shared" si="2"/>
        <v>612615.15000000014</v>
      </c>
      <c r="K9" s="69">
        <f t="shared" si="2"/>
        <v>643245.9075000002</v>
      </c>
    </row>
    <row r="10" spans="1:11">
      <c r="A10" s="68" t="s">
        <v>194</v>
      </c>
      <c r="B10" s="68" t="s">
        <v>387</v>
      </c>
      <c r="C10" s="288">
        <v>3</v>
      </c>
      <c r="D10" s="152">
        <v>10000</v>
      </c>
      <c r="E10" s="69">
        <f>$C10*$D10*12*E$4</f>
        <v>360000</v>
      </c>
      <c r="F10" s="69">
        <f t="shared" si="2"/>
        <v>378000</v>
      </c>
      <c r="G10" s="69">
        <f t="shared" si="2"/>
        <v>396900</v>
      </c>
      <c r="H10" s="69">
        <f t="shared" si="2"/>
        <v>416745.00000000006</v>
      </c>
      <c r="I10" s="69">
        <f t="shared" si="2"/>
        <v>437582.25000000006</v>
      </c>
      <c r="J10" s="69">
        <f t="shared" si="2"/>
        <v>459461.3625000001</v>
      </c>
      <c r="K10" s="69">
        <f t="shared" si="2"/>
        <v>482434.43062500015</v>
      </c>
    </row>
    <row r="11" spans="1:11">
      <c r="A11" s="68" t="s">
        <v>131</v>
      </c>
      <c r="B11" s="68" t="s">
        <v>388</v>
      </c>
      <c r="C11" s="288">
        <v>12</v>
      </c>
      <c r="D11" s="152">
        <v>2500</v>
      </c>
      <c r="E11" s="69">
        <f>$C11*$D11*E$4</f>
        <v>30000</v>
      </c>
      <c r="F11" s="69">
        <f t="shared" ref="F11:K15" si="3">$C11*$D11*F$4</f>
        <v>31500</v>
      </c>
      <c r="G11" s="69">
        <f t="shared" si="3"/>
        <v>33075</v>
      </c>
      <c r="H11" s="69">
        <f t="shared" si="3"/>
        <v>34728.750000000007</v>
      </c>
      <c r="I11" s="69">
        <f t="shared" si="3"/>
        <v>36465.187500000007</v>
      </c>
      <c r="J11" s="69">
        <f t="shared" si="3"/>
        <v>38288.446875000009</v>
      </c>
      <c r="K11" s="69">
        <f t="shared" si="3"/>
        <v>40202.869218750013</v>
      </c>
    </row>
    <row r="12" spans="1:11">
      <c r="A12" s="68" t="s">
        <v>10</v>
      </c>
      <c r="B12" s="68" t="s">
        <v>388</v>
      </c>
      <c r="C12" s="288">
        <v>12</v>
      </c>
      <c r="D12" s="152">
        <v>5000</v>
      </c>
      <c r="E12" s="69">
        <f t="shared" ref="E12:E15" si="4">$C12*$D12*E$4</f>
        <v>60000</v>
      </c>
      <c r="F12" s="69">
        <f t="shared" si="3"/>
        <v>63000</v>
      </c>
      <c r="G12" s="69">
        <f t="shared" si="3"/>
        <v>66150</v>
      </c>
      <c r="H12" s="69">
        <f t="shared" si="3"/>
        <v>69457.500000000015</v>
      </c>
      <c r="I12" s="69">
        <f t="shared" si="3"/>
        <v>72930.375000000015</v>
      </c>
      <c r="J12" s="69">
        <f t="shared" si="3"/>
        <v>76576.893750000017</v>
      </c>
      <c r="K12" s="69">
        <f t="shared" si="3"/>
        <v>80405.738437500026</v>
      </c>
    </row>
    <row r="13" spans="1:11">
      <c r="A13" s="68" t="s">
        <v>190</v>
      </c>
      <c r="B13" s="68" t="s">
        <v>388</v>
      </c>
      <c r="C13" s="288">
        <v>12</v>
      </c>
      <c r="D13" s="152">
        <v>5000</v>
      </c>
      <c r="E13" s="69">
        <f t="shared" si="4"/>
        <v>60000</v>
      </c>
      <c r="F13" s="69">
        <f t="shared" si="3"/>
        <v>63000</v>
      </c>
      <c r="G13" s="69">
        <f t="shared" si="3"/>
        <v>66150</v>
      </c>
      <c r="H13" s="69">
        <f t="shared" si="3"/>
        <v>69457.500000000015</v>
      </c>
      <c r="I13" s="69">
        <f t="shared" si="3"/>
        <v>72930.375000000015</v>
      </c>
      <c r="J13" s="69">
        <f t="shared" si="3"/>
        <v>76576.893750000017</v>
      </c>
      <c r="K13" s="69">
        <f t="shared" si="3"/>
        <v>80405.738437500026</v>
      </c>
    </row>
    <row r="14" spans="1:11">
      <c r="A14" s="68" t="s">
        <v>161</v>
      </c>
      <c r="B14" s="68" t="s">
        <v>388</v>
      </c>
      <c r="C14" s="288">
        <v>12</v>
      </c>
      <c r="D14" s="152">
        <v>5000</v>
      </c>
      <c r="E14" s="69">
        <f t="shared" si="4"/>
        <v>60000</v>
      </c>
      <c r="F14" s="69">
        <f t="shared" si="3"/>
        <v>63000</v>
      </c>
      <c r="G14" s="69">
        <f t="shared" si="3"/>
        <v>66150</v>
      </c>
      <c r="H14" s="69">
        <f t="shared" si="3"/>
        <v>69457.500000000015</v>
      </c>
      <c r="I14" s="69">
        <f t="shared" si="3"/>
        <v>72930.375000000015</v>
      </c>
      <c r="J14" s="69">
        <f t="shared" si="3"/>
        <v>76576.893750000017</v>
      </c>
      <c r="K14" s="69">
        <f t="shared" si="3"/>
        <v>80405.738437500026</v>
      </c>
    </row>
    <row r="15" spans="1:11">
      <c r="A15" s="68" t="s">
        <v>191</v>
      </c>
      <c r="B15" s="68" t="s">
        <v>388</v>
      </c>
      <c r="C15" s="288">
        <v>12</v>
      </c>
      <c r="D15" s="152">
        <v>5000</v>
      </c>
      <c r="E15" s="69">
        <f t="shared" si="4"/>
        <v>60000</v>
      </c>
      <c r="F15" s="69">
        <f t="shared" si="3"/>
        <v>63000</v>
      </c>
      <c r="G15" s="69">
        <f t="shared" si="3"/>
        <v>66150</v>
      </c>
      <c r="H15" s="69">
        <f t="shared" si="3"/>
        <v>69457.500000000015</v>
      </c>
      <c r="I15" s="69">
        <f t="shared" si="3"/>
        <v>72930.375000000015</v>
      </c>
      <c r="J15" s="69">
        <f t="shared" si="3"/>
        <v>76576.893750000017</v>
      </c>
      <c r="K15" s="69">
        <f t="shared" si="3"/>
        <v>80405.738437500026</v>
      </c>
    </row>
    <row r="16" spans="1:11">
      <c r="A16" s="68" t="s">
        <v>192</v>
      </c>
      <c r="B16" s="68" t="s">
        <v>389</v>
      </c>
      <c r="C16" s="288">
        <v>1</v>
      </c>
      <c r="D16" s="152">
        <v>100000</v>
      </c>
      <c r="E16" s="69">
        <f>$D16*E$4*$C16</f>
        <v>100000</v>
      </c>
      <c r="F16" s="69">
        <f t="shared" ref="F16:K22" si="5">$D16*F$4*$C16</f>
        <v>105000</v>
      </c>
      <c r="G16" s="69">
        <f t="shared" si="5"/>
        <v>110250</v>
      </c>
      <c r="H16" s="69">
        <f t="shared" si="5"/>
        <v>115762.50000000001</v>
      </c>
      <c r="I16" s="69">
        <f t="shared" si="5"/>
        <v>121550.62500000003</v>
      </c>
      <c r="J16" s="69">
        <f t="shared" si="5"/>
        <v>127628.15625000003</v>
      </c>
      <c r="K16" s="69">
        <f t="shared" si="5"/>
        <v>134009.56406250005</v>
      </c>
    </row>
    <row r="17" spans="1:17">
      <c r="A17" s="68"/>
      <c r="B17" s="68"/>
      <c r="C17" s="288"/>
      <c r="D17" s="152"/>
      <c r="E17" s="69">
        <f t="shared" ref="E17:E22" si="6">$D17*E$4*$C17</f>
        <v>0</v>
      </c>
      <c r="F17" s="69">
        <f t="shared" si="5"/>
        <v>0</v>
      </c>
      <c r="G17" s="69">
        <f t="shared" si="5"/>
        <v>0</v>
      </c>
      <c r="H17" s="69">
        <f t="shared" si="5"/>
        <v>0</v>
      </c>
      <c r="I17" s="69">
        <f t="shared" si="5"/>
        <v>0</v>
      </c>
      <c r="J17" s="69">
        <f t="shared" si="5"/>
        <v>0</v>
      </c>
      <c r="K17" s="69">
        <f t="shared" si="5"/>
        <v>0</v>
      </c>
    </row>
    <row r="18" spans="1:17">
      <c r="A18" s="68"/>
      <c r="B18" s="68"/>
      <c r="C18" s="288"/>
      <c r="D18" s="152"/>
      <c r="E18" s="69">
        <f t="shared" si="6"/>
        <v>0</v>
      </c>
      <c r="F18" s="69">
        <f t="shared" si="5"/>
        <v>0</v>
      </c>
      <c r="G18" s="69">
        <f t="shared" si="5"/>
        <v>0</v>
      </c>
      <c r="H18" s="69">
        <f t="shared" si="5"/>
        <v>0</v>
      </c>
      <c r="I18" s="69">
        <f t="shared" si="5"/>
        <v>0</v>
      </c>
      <c r="J18" s="69">
        <f t="shared" si="5"/>
        <v>0</v>
      </c>
      <c r="K18" s="69">
        <f t="shared" si="5"/>
        <v>0</v>
      </c>
    </row>
    <row r="19" spans="1:17">
      <c r="A19" s="68"/>
      <c r="B19" s="68"/>
      <c r="C19" s="288"/>
      <c r="D19" s="152"/>
      <c r="E19" s="69">
        <f t="shared" si="6"/>
        <v>0</v>
      </c>
      <c r="F19" s="69">
        <f t="shared" si="5"/>
        <v>0</v>
      </c>
      <c r="G19" s="69">
        <f t="shared" si="5"/>
        <v>0</v>
      </c>
      <c r="H19" s="69">
        <f t="shared" si="5"/>
        <v>0</v>
      </c>
      <c r="I19" s="69">
        <f t="shared" si="5"/>
        <v>0</v>
      </c>
      <c r="J19" s="69">
        <f t="shared" si="5"/>
        <v>0</v>
      </c>
      <c r="K19" s="69">
        <f t="shared" si="5"/>
        <v>0</v>
      </c>
    </row>
    <row r="20" spans="1:17">
      <c r="A20" s="68"/>
      <c r="B20" s="68"/>
      <c r="C20" s="288"/>
      <c r="D20" s="152"/>
      <c r="E20" s="69">
        <f t="shared" si="6"/>
        <v>0</v>
      </c>
      <c r="F20" s="69">
        <f t="shared" si="5"/>
        <v>0</v>
      </c>
      <c r="G20" s="69">
        <f t="shared" si="5"/>
        <v>0</v>
      </c>
      <c r="H20" s="69">
        <f t="shared" si="5"/>
        <v>0</v>
      </c>
      <c r="I20" s="69">
        <f t="shared" si="5"/>
        <v>0</v>
      </c>
      <c r="J20" s="69">
        <f t="shared" si="5"/>
        <v>0</v>
      </c>
      <c r="K20" s="69">
        <f t="shared" si="5"/>
        <v>0</v>
      </c>
    </row>
    <row r="21" spans="1:17">
      <c r="A21" s="68"/>
      <c r="B21" s="68"/>
      <c r="C21" s="288"/>
      <c r="D21" s="152"/>
      <c r="E21" s="69">
        <f t="shared" si="6"/>
        <v>0</v>
      </c>
      <c r="F21" s="69">
        <f t="shared" si="5"/>
        <v>0</v>
      </c>
      <c r="G21" s="69">
        <f t="shared" si="5"/>
        <v>0</v>
      </c>
      <c r="H21" s="69">
        <f t="shared" si="5"/>
        <v>0</v>
      </c>
      <c r="I21" s="69">
        <f t="shared" si="5"/>
        <v>0</v>
      </c>
      <c r="J21" s="69">
        <f t="shared" si="5"/>
        <v>0</v>
      </c>
      <c r="K21" s="69">
        <f t="shared" si="5"/>
        <v>0</v>
      </c>
    </row>
    <row r="22" spans="1:17">
      <c r="A22" s="68"/>
      <c r="B22" s="68"/>
      <c r="C22" s="68"/>
      <c r="D22" s="69"/>
      <c r="E22" s="69">
        <f t="shared" si="6"/>
        <v>0</v>
      </c>
      <c r="F22" s="69">
        <f t="shared" si="5"/>
        <v>0</v>
      </c>
      <c r="G22" s="69">
        <f t="shared" si="5"/>
        <v>0</v>
      </c>
      <c r="H22" s="69">
        <f t="shared" si="5"/>
        <v>0</v>
      </c>
      <c r="I22" s="69">
        <f t="shared" si="5"/>
        <v>0</v>
      </c>
      <c r="J22" s="69">
        <f t="shared" si="5"/>
        <v>0</v>
      </c>
      <c r="K22" s="69">
        <f t="shared" si="5"/>
        <v>0</v>
      </c>
    </row>
    <row r="23" spans="1:17">
      <c r="A23" s="70" t="s">
        <v>132</v>
      </c>
      <c r="B23" s="70"/>
      <c r="C23" s="70"/>
      <c r="D23" s="84"/>
      <c r="E23" s="84">
        <f>SUM(E8:E22)</f>
        <v>1630000</v>
      </c>
      <c r="F23" s="84">
        <f t="shared" ref="F23:K23" si="7">SUM(F8:F22)</f>
        <v>1711500</v>
      </c>
      <c r="G23" s="84">
        <f t="shared" si="7"/>
        <v>1797075</v>
      </c>
      <c r="H23" s="84">
        <f t="shared" si="7"/>
        <v>1886928.7500000002</v>
      </c>
      <c r="I23" s="84">
        <f t="shared" si="7"/>
        <v>1981275.1875000002</v>
      </c>
      <c r="J23" s="84">
        <f t="shared" si="7"/>
        <v>2080338.9468750004</v>
      </c>
      <c r="K23" s="84">
        <f t="shared" si="7"/>
        <v>2184355.8942187508</v>
      </c>
    </row>
    <row r="28" spans="1:17">
      <c r="A28" s="393"/>
      <c r="B28" s="393"/>
      <c r="C28" s="393"/>
      <c r="D28" s="393"/>
      <c r="E28" s="393"/>
      <c r="F28" s="393"/>
      <c r="G28" s="393"/>
      <c r="H28" s="393"/>
      <c r="I28" s="393"/>
      <c r="J28" s="393"/>
      <c r="K28" s="393"/>
      <c r="L28" s="393"/>
      <c r="M28" s="393"/>
      <c r="N28" s="393"/>
      <c r="O28" s="393"/>
    </row>
    <row r="29" spans="1:17" ht="18.75">
      <c r="A29" s="391" t="s">
        <v>528</v>
      </c>
      <c r="B29" s="391"/>
      <c r="C29" s="391"/>
      <c r="D29" s="391"/>
      <c r="E29" s="391"/>
      <c r="F29" s="391"/>
      <c r="G29" s="391"/>
      <c r="H29" s="391"/>
      <c r="I29" s="391"/>
      <c r="J29" s="391"/>
      <c r="K29" s="391"/>
      <c r="L29" s="391"/>
      <c r="M29" s="391"/>
      <c r="N29" s="391"/>
      <c r="O29" s="391"/>
      <c r="P29" s="391"/>
      <c r="Q29" s="391"/>
    </row>
    <row r="30" spans="1:17">
      <c r="A30" s="116"/>
      <c r="B30" s="116"/>
      <c r="C30" s="116"/>
      <c r="D30" s="116"/>
      <c r="E30" s="116"/>
      <c r="F30" s="116"/>
      <c r="G30" s="116"/>
      <c r="H30" s="116"/>
      <c r="I30" s="116"/>
      <c r="J30" s="116"/>
      <c r="K30" s="116"/>
      <c r="L30" s="116"/>
      <c r="M30" s="116"/>
      <c r="N30" s="116"/>
      <c r="O30" s="116"/>
    </row>
    <row r="31" spans="1:17">
      <c r="A31" s="67"/>
      <c r="B31" s="67"/>
      <c r="C31" s="394" t="s">
        <v>195</v>
      </c>
      <c r="D31" s="394"/>
      <c r="E31" s="394"/>
      <c r="F31" s="394"/>
      <c r="G31" s="394"/>
      <c r="H31" s="394"/>
      <c r="I31" s="394"/>
      <c r="J31" s="67"/>
      <c r="K31" s="395" t="s">
        <v>196</v>
      </c>
      <c r="L31" s="395"/>
      <c r="M31" s="395"/>
      <c r="N31" s="395"/>
      <c r="O31" s="395"/>
      <c r="P31" s="395"/>
      <c r="Q31" s="395"/>
    </row>
    <row r="32" spans="1:17">
      <c r="A32" s="132" t="s">
        <v>0</v>
      </c>
      <c r="B32" s="126"/>
      <c r="C32" s="45" t="s">
        <v>2</v>
      </c>
      <c r="D32" s="45" t="s">
        <v>3</v>
      </c>
      <c r="E32" s="45" t="s">
        <v>4</v>
      </c>
      <c r="F32" s="45" t="s">
        <v>5</v>
      </c>
      <c r="G32" s="45" t="s">
        <v>6</v>
      </c>
      <c r="H32" s="45" t="s">
        <v>169</v>
      </c>
      <c r="I32" s="45" t="s">
        <v>168</v>
      </c>
      <c r="J32" s="133"/>
      <c r="K32" s="45" t="s">
        <v>2</v>
      </c>
      <c r="L32" s="45" t="s">
        <v>3</v>
      </c>
      <c r="M32" s="45" t="s">
        <v>4</v>
      </c>
      <c r="N32" s="45" t="s">
        <v>5</v>
      </c>
      <c r="O32" s="45" t="s">
        <v>6</v>
      </c>
      <c r="P32" s="45" t="s">
        <v>169</v>
      </c>
      <c r="Q32" s="45" t="s">
        <v>168</v>
      </c>
    </row>
    <row r="33" spans="1:17">
      <c r="A33" s="127" t="s">
        <v>197</v>
      </c>
      <c r="B33" s="68"/>
      <c r="C33" s="68"/>
      <c r="D33" s="68"/>
      <c r="E33" s="68"/>
      <c r="F33" s="68"/>
      <c r="G33" s="128"/>
      <c r="H33" s="128"/>
      <c r="I33" s="128"/>
      <c r="J33" s="68"/>
      <c r="K33" s="68"/>
      <c r="L33" s="68"/>
      <c r="M33" s="68"/>
      <c r="N33" s="68"/>
      <c r="O33" s="128"/>
      <c r="P33" s="128"/>
      <c r="Q33" s="128"/>
    </row>
    <row r="34" spans="1:17">
      <c r="A34" s="127"/>
      <c r="B34" s="68"/>
      <c r="C34" s="68"/>
      <c r="D34" s="68"/>
      <c r="E34" s="68"/>
      <c r="F34" s="68"/>
      <c r="G34" s="128"/>
      <c r="H34" s="128"/>
      <c r="I34" s="128"/>
      <c r="J34" s="68"/>
      <c r="K34" s="68"/>
      <c r="L34" s="68"/>
      <c r="M34" s="68"/>
      <c r="N34" s="68"/>
      <c r="O34" s="128"/>
      <c r="P34" s="128"/>
      <c r="Q34" s="128"/>
    </row>
    <row r="35" spans="1:17">
      <c r="A35" s="129"/>
      <c r="B35" s="129"/>
      <c r="C35" s="68"/>
      <c r="D35" s="68"/>
      <c r="E35" s="68"/>
      <c r="F35" s="68"/>
      <c r="G35" s="68"/>
      <c r="H35" s="68"/>
      <c r="I35" s="68"/>
      <c r="J35" s="68"/>
      <c r="K35" s="68"/>
      <c r="L35" s="68"/>
      <c r="M35" s="68"/>
      <c r="N35" s="68"/>
      <c r="O35" s="68"/>
      <c r="P35" s="68"/>
      <c r="Q35" s="68"/>
    </row>
    <row r="36" spans="1:17">
      <c r="A36" s="130" t="s">
        <v>201</v>
      </c>
      <c r="B36" s="130"/>
      <c r="C36" s="68"/>
      <c r="D36" s="68"/>
      <c r="E36" s="68"/>
      <c r="F36" s="68"/>
      <c r="G36" s="68"/>
      <c r="H36" s="68"/>
      <c r="I36" s="68"/>
      <c r="J36" s="68"/>
      <c r="K36" s="68"/>
      <c r="L36" s="68"/>
      <c r="M36" s="68"/>
      <c r="N36" s="68"/>
      <c r="O36" s="68"/>
      <c r="P36" s="68"/>
      <c r="Q36" s="68"/>
    </row>
    <row r="37" spans="1:17">
      <c r="A37" s="129" t="s">
        <v>198</v>
      </c>
      <c r="B37" s="129"/>
      <c r="C37" s="131">
        <f>'1.Project Cost and MOF'!D5</f>
        <v>8750000</v>
      </c>
      <c r="D37" s="131">
        <f t="shared" ref="D37:I37" si="8">C40</f>
        <v>8472625</v>
      </c>
      <c r="E37" s="131">
        <f t="shared" si="8"/>
        <v>8195250</v>
      </c>
      <c r="F37" s="131">
        <f t="shared" si="8"/>
        <v>7917875</v>
      </c>
      <c r="G37" s="131">
        <f t="shared" si="8"/>
        <v>7640500</v>
      </c>
      <c r="H37" s="131">
        <f t="shared" si="8"/>
        <v>7363125</v>
      </c>
      <c r="I37" s="131">
        <f t="shared" si="8"/>
        <v>7085750</v>
      </c>
      <c r="J37" s="68"/>
      <c r="K37" s="131">
        <f>C37</f>
        <v>8750000</v>
      </c>
      <c r="L37" s="131">
        <f t="shared" ref="L37:Q37" si="9">K40</f>
        <v>7875000</v>
      </c>
      <c r="M37" s="131">
        <f t="shared" si="9"/>
        <v>7087500</v>
      </c>
      <c r="N37" s="131">
        <f t="shared" si="9"/>
        <v>6378750</v>
      </c>
      <c r="O37" s="131">
        <f t="shared" si="9"/>
        <v>5740875</v>
      </c>
      <c r="P37" s="131">
        <f t="shared" si="9"/>
        <v>5166787.5</v>
      </c>
      <c r="Q37" s="131">
        <f t="shared" si="9"/>
        <v>4650108.75</v>
      </c>
    </row>
    <row r="38" spans="1:17">
      <c r="A38" s="129" t="s">
        <v>17</v>
      </c>
      <c r="B38" s="129"/>
      <c r="C38" s="131">
        <f t="shared" ref="C38:I38" si="10">$C$37*$B$74</f>
        <v>277375</v>
      </c>
      <c r="D38" s="131">
        <f t="shared" si="10"/>
        <v>277375</v>
      </c>
      <c r="E38" s="131">
        <f t="shared" si="10"/>
        <v>277375</v>
      </c>
      <c r="F38" s="131">
        <f t="shared" si="10"/>
        <v>277375</v>
      </c>
      <c r="G38" s="131">
        <f t="shared" si="10"/>
        <v>277375</v>
      </c>
      <c r="H38" s="131">
        <f t="shared" si="10"/>
        <v>277375</v>
      </c>
      <c r="I38" s="131">
        <f t="shared" si="10"/>
        <v>277375</v>
      </c>
      <c r="J38" s="68"/>
      <c r="K38" s="131">
        <f t="shared" ref="K38:Q38" si="11">K37*$C$74</f>
        <v>875000</v>
      </c>
      <c r="L38" s="131">
        <f t="shared" si="11"/>
        <v>787500</v>
      </c>
      <c r="M38" s="131">
        <f t="shared" si="11"/>
        <v>708750</v>
      </c>
      <c r="N38" s="131">
        <f t="shared" si="11"/>
        <v>637875</v>
      </c>
      <c r="O38" s="131">
        <f t="shared" si="11"/>
        <v>574087.5</v>
      </c>
      <c r="P38" s="131">
        <f t="shared" si="11"/>
        <v>516678.75</v>
      </c>
      <c r="Q38" s="131">
        <f t="shared" si="11"/>
        <v>465010.875</v>
      </c>
    </row>
    <row r="39" spans="1:17">
      <c r="A39" s="129" t="s">
        <v>199</v>
      </c>
      <c r="B39" s="129"/>
      <c r="C39" s="131">
        <f>C38</f>
        <v>277375</v>
      </c>
      <c r="D39" s="131">
        <f t="shared" ref="D39:I39" si="12">C39+D38</f>
        <v>554750</v>
      </c>
      <c r="E39" s="131">
        <f t="shared" si="12"/>
        <v>832125</v>
      </c>
      <c r="F39" s="131">
        <f t="shared" si="12"/>
        <v>1109500</v>
      </c>
      <c r="G39" s="131">
        <f t="shared" si="12"/>
        <v>1386875</v>
      </c>
      <c r="H39" s="131">
        <f t="shared" si="12"/>
        <v>1664250</v>
      </c>
      <c r="I39" s="131">
        <f t="shared" si="12"/>
        <v>1941625</v>
      </c>
      <c r="J39" s="68"/>
      <c r="K39" s="131">
        <f>K38</f>
        <v>875000</v>
      </c>
      <c r="L39" s="131">
        <f t="shared" ref="L39:Q39" si="13">K39+L38</f>
        <v>1662500</v>
      </c>
      <c r="M39" s="131">
        <f t="shared" si="13"/>
        <v>2371250</v>
      </c>
      <c r="N39" s="131">
        <f t="shared" si="13"/>
        <v>3009125</v>
      </c>
      <c r="O39" s="131">
        <f t="shared" si="13"/>
        <v>3583212.5</v>
      </c>
      <c r="P39" s="131">
        <f t="shared" si="13"/>
        <v>4099891.25</v>
      </c>
      <c r="Q39" s="131">
        <f t="shared" si="13"/>
        <v>4564902.125</v>
      </c>
    </row>
    <row r="40" spans="1:17">
      <c r="A40" s="129" t="s">
        <v>200</v>
      </c>
      <c r="B40" s="129"/>
      <c r="C40" s="131">
        <f t="shared" ref="C40:I40" si="14">C37-C38</f>
        <v>8472625</v>
      </c>
      <c r="D40" s="131">
        <f t="shared" si="14"/>
        <v>8195250</v>
      </c>
      <c r="E40" s="131">
        <f t="shared" si="14"/>
        <v>7917875</v>
      </c>
      <c r="F40" s="131">
        <f t="shared" si="14"/>
        <v>7640500</v>
      </c>
      <c r="G40" s="131">
        <f t="shared" si="14"/>
        <v>7363125</v>
      </c>
      <c r="H40" s="131">
        <f t="shared" si="14"/>
        <v>7085750</v>
      </c>
      <c r="I40" s="131">
        <f t="shared" si="14"/>
        <v>6808375</v>
      </c>
      <c r="J40" s="68"/>
      <c r="K40" s="131">
        <f t="shared" ref="K40:Q40" si="15">K37-K38</f>
        <v>7875000</v>
      </c>
      <c r="L40" s="131">
        <f t="shared" si="15"/>
        <v>7087500</v>
      </c>
      <c r="M40" s="131">
        <f t="shared" si="15"/>
        <v>6378750</v>
      </c>
      <c r="N40" s="131">
        <f t="shared" si="15"/>
        <v>5740875</v>
      </c>
      <c r="O40" s="131">
        <f t="shared" si="15"/>
        <v>5166787.5</v>
      </c>
      <c r="P40" s="131">
        <f t="shared" si="15"/>
        <v>4650108.75</v>
      </c>
      <c r="Q40" s="131">
        <f t="shared" si="15"/>
        <v>4185097.875</v>
      </c>
    </row>
    <row r="41" spans="1:17">
      <c r="A41" s="129"/>
      <c r="B41" s="129"/>
      <c r="C41" s="131"/>
      <c r="D41" s="131"/>
      <c r="E41" s="131"/>
      <c r="F41" s="131"/>
      <c r="G41" s="131"/>
      <c r="H41" s="131"/>
      <c r="I41" s="131"/>
      <c r="J41" s="68"/>
      <c r="K41" s="131"/>
      <c r="L41" s="131"/>
      <c r="M41" s="131"/>
      <c r="N41" s="131"/>
      <c r="O41" s="131"/>
      <c r="P41" s="131"/>
      <c r="Q41" s="131"/>
    </row>
    <row r="42" spans="1:17">
      <c r="A42" s="130" t="s">
        <v>202</v>
      </c>
      <c r="B42" s="130"/>
      <c r="C42" s="131"/>
      <c r="D42" s="131"/>
      <c r="E42" s="131"/>
      <c r="F42" s="131"/>
      <c r="G42" s="131"/>
      <c r="H42" s="131"/>
      <c r="I42" s="131"/>
      <c r="J42" s="68"/>
      <c r="K42" s="131"/>
      <c r="L42" s="131"/>
      <c r="M42" s="131"/>
      <c r="N42" s="131"/>
      <c r="O42" s="131"/>
      <c r="P42" s="131"/>
      <c r="Q42" s="131"/>
    </row>
    <row r="43" spans="1:17">
      <c r="A43" s="129" t="s">
        <v>198</v>
      </c>
      <c r="B43" s="129"/>
      <c r="C43" s="131">
        <f>'1.Project Cost and MOF'!D6</f>
        <v>9372262</v>
      </c>
      <c r="D43" s="131">
        <f t="shared" ref="D43:I43" si="16">C46</f>
        <v>8778997.8154000007</v>
      </c>
      <c r="E43" s="131">
        <f t="shared" si="16"/>
        <v>8185733.6308000004</v>
      </c>
      <c r="F43" s="131">
        <f t="shared" si="16"/>
        <v>7592469.4462000001</v>
      </c>
      <c r="G43" s="131">
        <f t="shared" si="16"/>
        <v>6999205.2615999999</v>
      </c>
      <c r="H43" s="131">
        <f t="shared" si="16"/>
        <v>6405941.0769999996</v>
      </c>
      <c r="I43" s="131">
        <f t="shared" si="16"/>
        <v>5812676.8923999993</v>
      </c>
      <c r="J43" s="68"/>
      <c r="K43" s="131">
        <f>C43</f>
        <v>9372262</v>
      </c>
      <c r="L43" s="131">
        <f t="shared" ref="L43:Q43" si="17">K46</f>
        <v>7966422.7000000002</v>
      </c>
      <c r="M43" s="131">
        <f t="shared" si="17"/>
        <v>6771459.2949999999</v>
      </c>
      <c r="N43" s="131">
        <f t="shared" si="17"/>
        <v>5755740.40075</v>
      </c>
      <c r="O43" s="131">
        <f t="shared" si="17"/>
        <v>4892379.3406375004</v>
      </c>
      <c r="P43" s="131">
        <f t="shared" si="17"/>
        <v>4158522.4395418754</v>
      </c>
      <c r="Q43" s="131">
        <f t="shared" si="17"/>
        <v>3534744.073610594</v>
      </c>
    </row>
    <row r="44" spans="1:17">
      <c r="A44" s="129" t="s">
        <v>17</v>
      </c>
      <c r="B44" s="129"/>
      <c r="C44" s="131">
        <f t="shared" ref="C44:I44" si="18">$C$43*$B$78</f>
        <v>593264.18459999992</v>
      </c>
      <c r="D44" s="131">
        <f t="shared" si="18"/>
        <v>593264.18459999992</v>
      </c>
      <c r="E44" s="131">
        <f t="shared" si="18"/>
        <v>593264.18459999992</v>
      </c>
      <c r="F44" s="131">
        <f t="shared" si="18"/>
        <v>593264.18459999992</v>
      </c>
      <c r="G44" s="131">
        <f t="shared" si="18"/>
        <v>593264.18459999992</v>
      </c>
      <c r="H44" s="131">
        <f t="shared" si="18"/>
        <v>593264.18459999992</v>
      </c>
      <c r="I44" s="131">
        <f t="shared" si="18"/>
        <v>593264.18459999992</v>
      </c>
      <c r="J44" s="68"/>
      <c r="K44" s="131">
        <f t="shared" ref="K44:Q44" si="19">K43*$C$78</f>
        <v>1405839.3</v>
      </c>
      <c r="L44" s="131">
        <f t="shared" si="19"/>
        <v>1194963.405</v>
      </c>
      <c r="M44" s="131">
        <f t="shared" si="19"/>
        <v>1015718.8942499999</v>
      </c>
      <c r="N44" s="131">
        <f t="shared" si="19"/>
        <v>863361.06011249998</v>
      </c>
      <c r="O44" s="131">
        <f t="shared" si="19"/>
        <v>733856.90109562501</v>
      </c>
      <c r="P44" s="131">
        <f t="shared" si="19"/>
        <v>623778.36593128124</v>
      </c>
      <c r="Q44" s="131">
        <f t="shared" si="19"/>
        <v>530211.61104158906</v>
      </c>
    </row>
    <row r="45" spans="1:17">
      <c r="A45" s="129" t="s">
        <v>199</v>
      </c>
      <c r="B45" s="129"/>
      <c r="C45" s="131">
        <f>C44</f>
        <v>593264.18459999992</v>
      </c>
      <c r="D45" s="131">
        <f t="shared" ref="D45:I45" si="20">C45+D44</f>
        <v>1186528.3691999998</v>
      </c>
      <c r="E45" s="131">
        <f t="shared" si="20"/>
        <v>1779792.5537999999</v>
      </c>
      <c r="F45" s="131">
        <f t="shared" si="20"/>
        <v>2373056.7383999997</v>
      </c>
      <c r="G45" s="131">
        <f t="shared" si="20"/>
        <v>2966320.9229999995</v>
      </c>
      <c r="H45" s="131">
        <f t="shared" si="20"/>
        <v>3559585.1075999993</v>
      </c>
      <c r="I45" s="131">
        <f t="shared" si="20"/>
        <v>4152849.2921999991</v>
      </c>
      <c r="J45" s="68"/>
      <c r="K45" s="131">
        <f>K44</f>
        <v>1405839.3</v>
      </c>
      <c r="L45" s="131">
        <f t="shared" ref="L45:Q45" si="21">K45+L44</f>
        <v>2600802.7050000001</v>
      </c>
      <c r="M45" s="131">
        <f t="shared" si="21"/>
        <v>3616521.59925</v>
      </c>
      <c r="N45" s="131">
        <f t="shared" si="21"/>
        <v>4479882.6593624996</v>
      </c>
      <c r="O45" s="131">
        <f t="shared" si="21"/>
        <v>5213739.5604581246</v>
      </c>
      <c r="P45" s="131">
        <f t="shared" si="21"/>
        <v>5837517.9263894055</v>
      </c>
      <c r="Q45" s="131">
        <f t="shared" si="21"/>
        <v>6367729.5374309942</v>
      </c>
    </row>
    <row r="46" spans="1:17">
      <c r="A46" s="129" t="s">
        <v>200</v>
      </c>
      <c r="B46" s="129"/>
      <c r="C46" s="131">
        <f t="shared" ref="C46:I46" si="22">C43-C44</f>
        <v>8778997.8154000007</v>
      </c>
      <c r="D46" s="131">
        <f t="shared" si="22"/>
        <v>8185733.6308000004</v>
      </c>
      <c r="E46" s="131">
        <f t="shared" si="22"/>
        <v>7592469.4462000001</v>
      </c>
      <c r="F46" s="131">
        <f t="shared" si="22"/>
        <v>6999205.2615999999</v>
      </c>
      <c r="G46" s="131">
        <f t="shared" si="22"/>
        <v>6405941.0769999996</v>
      </c>
      <c r="H46" s="131">
        <f t="shared" si="22"/>
        <v>5812676.8923999993</v>
      </c>
      <c r="I46" s="131">
        <f t="shared" si="22"/>
        <v>5219412.707799999</v>
      </c>
      <c r="J46" s="68"/>
      <c r="K46" s="131">
        <f t="shared" ref="K46:Q46" si="23">K43-K44</f>
        <v>7966422.7000000002</v>
      </c>
      <c r="L46" s="131">
        <f t="shared" si="23"/>
        <v>6771459.2949999999</v>
      </c>
      <c r="M46" s="131">
        <f t="shared" si="23"/>
        <v>5755740.40075</v>
      </c>
      <c r="N46" s="131">
        <f t="shared" si="23"/>
        <v>4892379.3406375004</v>
      </c>
      <c r="O46" s="131">
        <f t="shared" si="23"/>
        <v>4158522.4395418754</v>
      </c>
      <c r="P46" s="131">
        <f t="shared" si="23"/>
        <v>3534744.073610594</v>
      </c>
      <c r="Q46" s="131">
        <f t="shared" si="23"/>
        <v>3004532.4625690049</v>
      </c>
    </row>
    <row r="47" spans="1:17">
      <c r="A47" s="129"/>
      <c r="B47" s="129"/>
      <c r="C47" s="131"/>
      <c r="D47" s="131"/>
      <c r="E47" s="131"/>
      <c r="F47" s="131"/>
      <c r="G47" s="131"/>
      <c r="H47" s="131"/>
      <c r="I47" s="131"/>
      <c r="J47" s="68"/>
      <c r="K47" s="131"/>
      <c r="L47" s="131"/>
      <c r="M47" s="131"/>
      <c r="N47" s="131"/>
      <c r="O47" s="131"/>
      <c r="P47" s="131"/>
      <c r="Q47" s="131"/>
    </row>
    <row r="48" spans="1:17">
      <c r="A48" s="130" t="s">
        <v>203</v>
      </c>
      <c r="B48" s="130"/>
      <c r="C48" s="131"/>
      <c r="D48" s="131"/>
      <c r="E48" s="131"/>
      <c r="F48" s="131"/>
      <c r="G48" s="131"/>
      <c r="H48" s="131"/>
      <c r="I48" s="131"/>
      <c r="J48" s="68"/>
      <c r="K48" s="131"/>
      <c r="L48" s="131"/>
      <c r="M48" s="131"/>
      <c r="N48" s="131"/>
      <c r="O48" s="131"/>
      <c r="P48" s="131"/>
      <c r="Q48" s="131"/>
    </row>
    <row r="49" spans="1:17">
      <c r="A49" s="129" t="s">
        <v>198</v>
      </c>
      <c r="B49" s="129"/>
      <c r="C49" s="131">
        <f>'1.Project Cost and MOF'!D7</f>
        <v>115000</v>
      </c>
      <c r="D49" s="131">
        <f t="shared" ref="D49:I49" si="24">C52</f>
        <v>103500</v>
      </c>
      <c r="E49" s="131">
        <f t="shared" si="24"/>
        <v>92000</v>
      </c>
      <c r="F49" s="131">
        <f t="shared" si="24"/>
        <v>80500</v>
      </c>
      <c r="G49" s="131">
        <f t="shared" si="24"/>
        <v>69000</v>
      </c>
      <c r="H49" s="131">
        <f t="shared" si="24"/>
        <v>57500</v>
      </c>
      <c r="I49" s="131">
        <f t="shared" si="24"/>
        <v>46000</v>
      </c>
      <c r="J49" s="68"/>
      <c r="K49" s="131">
        <f>C49</f>
        <v>115000</v>
      </c>
      <c r="L49" s="131">
        <f t="shared" ref="L49:Q49" si="25">K52</f>
        <v>103500</v>
      </c>
      <c r="M49" s="131">
        <f t="shared" si="25"/>
        <v>93150</v>
      </c>
      <c r="N49" s="131">
        <f t="shared" si="25"/>
        <v>83835</v>
      </c>
      <c r="O49" s="131">
        <f t="shared" si="25"/>
        <v>75451.5</v>
      </c>
      <c r="P49" s="131">
        <f t="shared" si="25"/>
        <v>67906.350000000006</v>
      </c>
      <c r="Q49" s="131">
        <f t="shared" si="25"/>
        <v>61115.715000000004</v>
      </c>
    </row>
    <row r="50" spans="1:17">
      <c r="A50" s="129" t="s">
        <v>17</v>
      </c>
      <c r="B50" s="129"/>
      <c r="C50" s="131">
        <f t="shared" ref="C50:I50" si="26">$C$49*$B$75</f>
        <v>11500</v>
      </c>
      <c r="D50" s="131">
        <f t="shared" si="26"/>
        <v>11500</v>
      </c>
      <c r="E50" s="131">
        <f t="shared" si="26"/>
        <v>11500</v>
      </c>
      <c r="F50" s="131">
        <f t="shared" si="26"/>
        <v>11500</v>
      </c>
      <c r="G50" s="131">
        <f t="shared" si="26"/>
        <v>11500</v>
      </c>
      <c r="H50" s="131">
        <f t="shared" si="26"/>
        <v>11500</v>
      </c>
      <c r="I50" s="131">
        <f t="shared" si="26"/>
        <v>11500</v>
      </c>
      <c r="J50" s="68"/>
      <c r="K50" s="131">
        <f t="shared" ref="K50:Q50" si="27">K49*$C$75</f>
        <v>11500</v>
      </c>
      <c r="L50" s="131">
        <f t="shared" si="27"/>
        <v>10350</v>
      </c>
      <c r="M50" s="131">
        <f t="shared" si="27"/>
        <v>9315</v>
      </c>
      <c r="N50" s="131">
        <f t="shared" si="27"/>
        <v>8383.5</v>
      </c>
      <c r="O50" s="131">
        <f t="shared" si="27"/>
        <v>7545.1500000000005</v>
      </c>
      <c r="P50" s="131">
        <f t="shared" si="27"/>
        <v>6790.6350000000011</v>
      </c>
      <c r="Q50" s="131">
        <f t="shared" si="27"/>
        <v>6111.5715000000009</v>
      </c>
    </row>
    <row r="51" spans="1:17">
      <c r="A51" s="129" t="s">
        <v>199</v>
      </c>
      <c r="B51" s="129"/>
      <c r="C51" s="131">
        <f>C50</f>
        <v>11500</v>
      </c>
      <c r="D51" s="131">
        <f t="shared" ref="D51:I51" si="28">C51+D50</f>
        <v>23000</v>
      </c>
      <c r="E51" s="131">
        <f t="shared" si="28"/>
        <v>34500</v>
      </c>
      <c r="F51" s="131">
        <f t="shared" si="28"/>
        <v>46000</v>
      </c>
      <c r="G51" s="131">
        <f t="shared" si="28"/>
        <v>57500</v>
      </c>
      <c r="H51" s="131">
        <f t="shared" si="28"/>
        <v>69000</v>
      </c>
      <c r="I51" s="131">
        <f t="shared" si="28"/>
        <v>80500</v>
      </c>
      <c r="J51" s="68"/>
      <c r="K51" s="131">
        <f>K50</f>
        <v>11500</v>
      </c>
      <c r="L51" s="131">
        <f t="shared" ref="L51:Q51" si="29">K51+L50</f>
        <v>21850</v>
      </c>
      <c r="M51" s="131">
        <f t="shared" si="29"/>
        <v>31165</v>
      </c>
      <c r="N51" s="131">
        <f t="shared" si="29"/>
        <v>39548.5</v>
      </c>
      <c r="O51" s="131">
        <f t="shared" si="29"/>
        <v>47093.65</v>
      </c>
      <c r="P51" s="131">
        <f t="shared" si="29"/>
        <v>53884.285000000003</v>
      </c>
      <c r="Q51" s="131">
        <f t="shared" si="29"/>
        <v>59995.856500000002</v>
      </c>
    </row>
    <row r="52" spans="1:17">
      <c r="A52" s="129" t="s">
        <v>200</v>
      </c>
      <c r="B52" s="129"/>
      <c r="C52" s="131">
        <f t="shared" ref="C52:I52" si="30">C49-C50</f>
        <v>103500</v>
      </c>
      <c r="D52" s="131">
        <f t="shared" si="30"/>
        <v>92000</v>
      </c>
      <c r="E52" s="131">
        <f t="shared" si="30"/>
        <v>80500</v>
      </c>
      <c r="F52" s="131">
        <f t="shared" si="30"/>
        <v>69000</v>
      </c>
      <c r="G52" s="131">
        <f t="shared" si="30"/>
        <v>57500</v>
      </c>
      <c r="H52" s="131">
        <f t="shared" si="30"/>
        <v>46000</v>
      </c>
      <c r="I52" s="131">
        <f t="shared" si="30"/>
        <v>34500</v>
      </c>
      <c r="J52" s="68"/>
      <c r="K52" s="131">
        <f t="shared" ref="K52:Q52" si="31">K49-K50</f>
        <v>103500</v>
      </c>
      <c r="L52" s="131">
        <f t="shared" si="31"/>
        <v>93150</v>
      </c>
      <c r="M52" s="131">
        <f t="shared" si="31"/>
        <v>83835</v>
      </c>
      <c r="N52" s="131">
        <f t="shared" si="31"/>
        <v>75451.5</v>
      </c>
      <c r="O52" s="131">
        <f t="shared" si="31"/>
        <v>67906.350000000006</v>
      </c>
      <c r="P52" s="131">
        <f t="shared" si="31"/>
        <v>61115.715000000004</v>
      </c>
      <c r="Q52" s="131">
        <f t="shared" si="31"/>
        <v>55004.143500000006</v>
      </c>
    </row>
    <row r="53" spans="1:17">
      <c r="A53" s="129"/>
      <c r="B53" s="129"/>
      <c r="C53" s="131"/>
      <c r="D53" s="131"/>
      <c r="E53" s="131"/>
      <c r="F53" s="131"/>
      <c r="G53" s="131"/>
      <c r="H53" s="131"/>
      <c r="I53" s="131"/>
      <c r="J53" s="68"/>
      <c r="K53" s="131"/>
      <c r="L53" s="131"/>
      <c r="M53" s="131"/>
      <c r="N53" s="131"/>
      <c r="O53" s="131"/>
      <c r="P53" s="131"/>
      <c r="Q53" s="131"/>
    </row>
    <row r="54" spans="1:17">
      <c r="A54" s="130" t="s">
        <v>160</v>
      </c>
      <c r="B54" s="130"/>
      <c r="C54" s="131"/>
      <c r="D54" s="131"/>
      <c r="E54" s="131"/>
      <c r="F54" s="131"/>
      <c r="G54" s="131"/>
      <c r="H54" s="131"/>
      <c r="I54" s="131"/>
      <c r="J54" s="68"/>
      <c r="K54" s="131"/>
      <c r="L54" s="131"/>
      <c r="M54" s="131"/>
      <c r="N54" s="131"/>
      <c r="O54" s="131"/>
      <c r="P54" s="131"/>
      <c r="Q54" s="131"/>
    </row>
    <row r="55" spans="1:17">
      <c r="A55" s="129" t="s">
        <v>198</v>
      </c>
      <c r="B55" s="129"/>
      <c r="C55" s="131">
        <f>'1.Project Cost and MOF'!D9</f>
        <v>1621463</v>
      </c>
      <c r="D55" s="131">
        <f t="shared" ref="D55:I55" si="32">C58</f>
        <v>1428833.1956</v>
      </c>
      <c r="E55" s="131">
        <f t="shared" si="32"/>
        <v>1236203.3912</v>
      </c>
      <c r="F55" s="131">
        <f t="shared" si="32"/>
        <v>1043573.5867999999</v>
      </c>
      <c r="G55" s="131">
        <f t="shared" si="32"/>
        <v>850943.78239999991</v>
      </c>
      <c r="H55" s="131">
        <f t="shared" si="32"/>
        <v>658313.97799999989</v>
      </c>
      <c r="I55" s="131">
        <f t="shared" si="32"/>
        <v>465684.17359999986</v>
      </c>
      <c r="J55" s="68"/>
      <c r="K55" s="131">
        <f>C55</f>
        <v>1621463</v>
      </c>
      <c r="L55" s="131">
        <f t="shared" ref="L55:Q55" si="33">K58</f>
        <v>1378243.55</v>
      </c>
      <c r="M55" s="131">
        <f t="shared" si="33"/>
        <v>1171507.0175000001</v>
      </c>
      <c r="N55" s="131">
        <f t="shared" si="33"/>
        <v>995780.96487500006</v>
      </c>
      <c r="O55" s="131">
        <f t="shared" si="33"/>
        <v>846413.82014375005</v>
      </c>
      <c r="P55" s="131">
        <f t="shared" si="33"/>
        <v>719451.74712218752</v>
      </c>
      <c r="Q55" s="131">
        <f t="shared" si="33"/>
        <v>611533.98505385942</v>
      </c>
    </row>
    <row r="56" spans="1:17">
      <c r="A56" s="129" t="s">
        <v>17</v>
      </c>
      <c r="B56" s="129"/>
      <c r="C56" s="131">
        <f t="shared" ref="C56:I56" si="34">$C$55*$B$77</f>
        <v>192629.80439999999</v>
      </c>
      <c r="D56" s="131">
        <f t="shared" si="34"/>
        <v>192629.80439999999</v>
      </c>
      <c r="E56" s="131">
        <f t="shared" si="34"/>
        <v>192629.80439999999</v>
      </c>
      <c r="F56" s="131">
        <f t="shared" si="34"/>
        <v>192629.80439999999</v>
      </c>
      <c r="G56" s="131">
        <f t="shared" si="34"/>
        <v>192629.80439999999</v>
      </c>
      <c r="H56" s="131">
        <f t="shared" si="34"/>
        <v>192629.80439999999</v>
      </c>
      <c r="I56" s="131">
        <f t="shared" si="34"/>
        <v>192629.80439999999</v>
      </c>
      <c r="J56" s="68"/>
      <c r="K56" s="131">
        <f t="shared" ref="K56:Q56" si="35">K55*$C$77</f>
        <v>243219.44999999998</v>
      </c>
      <c r="L56" s="131">
        <f t="shared" si="35"/>
        <v>206736.5325</v>
      </c>
      <c r="M56" s="131">
        <f t="shared" si="35"/>
        <v>175726.05262500001</v>
      </c>
      <c r="N56" s="131">
        <f t="shared" si="35"/>
        <v>149367.14473125001</v>
      </c>
      <c r="O56" s="131">
        <f t="shared" si="35"/>
        <v>126962.07302156251</v>
      </c>
      <c r="P56" s="131">
        <f t="shared" si="35"/>
        <v>107917.76206832813</v>
      </c>
      <c r="Q56" s="131">
        <f t="shared" si="35"/>
        <v>91730.097758078904</v>
      </c>
    </row>
    <row r="57" spans="1:17">
      <c r="A57" s="129" t="s">
        <v>199</v>
      </c>
      <c r="B57" s="129"/>
      <c r="C57" s="131">
        <f>C56</f>
        <v>192629.80439999999</v>
      </c>
      <c r="D57" s="131">
        <f t="shared" ref="D57:I57" si="36">C57+D56</f>
        <v>385259.60879999999</v>
      </c>
      <c r="E57" s="131">
        <f t="shared" si="36"/>
        <v>577889.41319999995</v>
      </c>
      <c r="F57" s="131">
        <f t="shared" si="36"/>
        <v>770519.21759999997</v>
      </c>
      <c r="G57" s="131">
        <f t="shared" si="36"/>
        <v>963149.022</v>
      </c>
      <c r="H57" s="131">
        <f t="shared" si="36"/>
        <v>1155778.8263999999</v>
      </c>
      <c r="I57" s="131">
        <f t="shared" si="36"/>
        <v>1348408.6307999999</v>
      </c>
      <c r="J57" s="68"/>
      <c r="K57" s="131">
        <f>K56</f>
        <v>243219.44999999998</v>
      </c>
      <c r="L57" s="131">
        <f t="shared" ref="L57:Q57" si="37">K57+L56</f>
        <v>449955.98249999998</v>
      </c>
      <c r="M57" s="131">
        <f t="shared" si="37"/>
        <v>625682.03512499994</v>
      </c>
      <c r="N57" s="131">
        <f t="shared" si="37"/>
        <v>775049.17985624995</v>
      </c>
      <c r="O57" s="131">
        <f t="shared" si="37"/>
        <v>902011.25287781248</v>
      </c>
      <c r="P57" s="131">
        <f t="shared" si="37"/>
        <v>1009929.0149461406</v>
      </c>
      <c r="Q57" s="131">
        <f t="shared" si="37"/>
        <v>1101659.1127042195</v>
      </c>
    </row>
    <row r="58" spans="1:17">
      <c r="A58" s="129" t="s">
        <v>200</v>
      </c>
      <c r="B58" s="129"/>
      <c r="C58" s="131">
        <f t="shared" ref="C58:I58" si="38">C55-C56</f>
        <v>1428833.1956</v>
      </c>
      <c r="D58" s="131">
        <f t="shared" si="38"/>
        <v>1236203.3912</v>
      </c>
      <c r="E58" s="131">
        <f t="shared" si="38"/>
        <v>1043573.5867999999</v>
      </c>
      <c r="F58" s="131">
        <f t="shared" si="38"/>
        <v>850943.78239999991</v>
      </c>
      <c r="G58" s="131">
        <f t="shared" si="38"/>
        <v>658313.97799999989</v>
      </c>
      <c r="H58" s="131">
        <f t="shared" si="38"/>
        <v>465684.17359999986</v>
      </c>
      <c r="I58" s="131">
        <f t="shared" si="38"/>
        <v>273054.36919999984</v>
      </c>
      <c r="J58" s="68"/>
      <c r="K58" s="131">
        <f t="shared" ref="K58:Q58" si="39">K55-K56</f>
        <v>1378243.55</v>
      </c>
      <c r="L58" s="131">
        <f t="shared" si="39"/>
        <v>1171507.0175000001</v>
      </c>
      <c r="M58" s="131">
        <f t="shared" si="39"/>
        <v>995780.96487500006</v>
      </c>
      <c r="N58" s="131">
        <f t="shared" si="39"/>
        <v>846413.82014375005</v>
      </c>
      <c r="O58" s="131">
        <f t="shared" si="39"/>
        <v>719451.74712218752</v>
      </c>
      <c r="P58" s="131">
        <f t="shared" si="39"/>
        <v>611533.98505385942</v>
      </c>
      <c r="Q58" s="131">
        <f t="shared" si="39"/>
        <v>519803.88729578053</v>
      </c>
    </row>
    <row r="59" spans="1:17">
      <c r="A59" s="129"/>
      <c r="B59" s="129"/>
      <c r="C59" s="131"/>
      <c r="D59" s="131"/>
      <c r="E59" s="131"/>
      <c r="F59" s="131"/>
      <c r="G59" s="131"/>
      <c r="H59" s="131"/>
      <c r="I59" s="131"/>
      <c r="J59" s="68"/>
      <c r="K59" s="131"/>
      <c r="L59" s="131"/>
      <c r="M59" s="131"/>
      <c r="N59" s="131"/>
      <c r="O59" s="131"/>
      <c r="P59" s="131"/>
      <c r="Q59" s="131"/>
    </row>
    <row r="60" spans="1:17">
      <c r="A60" s="231" t="s">
        <v>328</v>
      </c>
      <c r="B60" s="129"/>
      <c r="C60" s="131"/>
      <c r="D60" s="131"/>
      <c r="E60" s="131"/>
      <c r="F60" s="131"/>
      <c r="G60" s="131"/>
      <c r="H60" s="131"/>
      <c r="I60" s="131"/>
      <c r="J60" s="68"/>
      <c r="K60" s="131"/>
      <c r="L60" s="131"/>
      <c r="M60" s="131"/>
      <c r="N60" s="131"/>
      <c r="O60" s="131"/>
      <c r="P60" s="131"/>
      <c r="Q60" s="131"/>
    </row>
    <row r="61" spans="1:17">
      <c r="A61" s="129" t="str">
        <f>A55</f>
        <v>Asset Value</v>
      </c>
      <c r="B61" s="129"/>
      <c r="C61" s="131">
        <f>'1.Project Cost and MOF'!D8</f>
        <v>143600</v>
      </c>
      <c r="D61" s="131">
        <f t="shared" ref="D61:I61" si="40">C64</f>
        <v>129240</v>
      </c>
      <c r="E61" s="131">
        <f t="shared" si="40"/>
        <v>114880</v>
      </c>
      <c r="F61" s="131">
        <f t="shared" si="40"/>
        <v>100520</v>
      </c>
      <c r="G61" s="131">
        <f t="shared" si="40"/>
        <v>86160</v>
      </c>
      <c r="H61" s="131">
        <f t="shared" si="40"/>
        <v>71800</v>
      </c>
      <c r="I61" s="131">
        <f t="shared" si="40"/>
        <v>57440</v>
      </c>
      <c r="J61" s="68"/>
      <c r="K61" s="131">
        <f>C61</f>
        <v>143600</v>
      </c>
      <c r="L61" s="131">
        <f t="shared" ref="L61:Q61" si="41">K64</f>
        <v>86160</v>
      </c>
      <c r="M61" s="131">
        <f t="shared" si="41"/>
        <v>51696</v>
      </c>
      <c r="N61" s="131">
        <f t="shared" si="41"/>
        <v>31017.599999999999</v>
      </c>
      <c r="O61" s="131">
        <f t="shared" si="41"/>
        <v>18610.559999999998</v>
      </c>
      <c r="P61" s="131">
        <f t="shared" si="41"/>
        <v>11166.335999999999</v>
      </c>
      <c r="Q61" s="131">
        <f t="shared" si="41"/>
        <v>6699.8015999999998</v>
      </c>
    </row>
    <row r="62" spans="1:17">
      <c r="A62" s="129" t="str">
        <f>A56</f>
        <v>Depreciation</v>
      </c>
      <c r="B62" s="129"/>
      <c r="C62" s="131">
        <f t="shared" ref="C62:I62" si="42">$C$61*$B$76</f>
        <v>14360</v>
      </c>
      <c r="D62" s="131">
        <f t="shared" si="42"/>
        <v>14360</v>
      </c>
      <c r="E62" s="131">
        <f t="shared" si="42"/>
        <v>14360</v>
      </c>
      <c r="F62" s="131">
        <f t="shared" si="42"/>
        <v>14360</v>
      </c>
      <c r="G62" s="131">
        <f t="shared" si="42"/>
        <v>14360</v>
      </c>
      <c r="H62" s="131">
        <f t="shared" si="42"/>
        <v>14360</v>
      </c>
      <c r="I62" s="131">
        <f t="shared" si="42"/>
        <v>14360</v>
      </c>
      <c r="J62" s="68"/>
      <c r="K62" s="131">
        <f t="shared" ref="K62:Q62" si="43">K61*$C$76</f>
        <v>57440</v>
      </c>
      <c r="L62" s="131">
        <f t="shared" si="43"/>
        <v>34464</v>
      </c>
      <c r="M62" s="131">
        <f t="shared" si="43"/>
        <v>20678.400000000001</v>
      </c>
      <c r="N62" s="131">
        <f t="shared" si="43"/>
        <v>12407.04</v>
      </c>
      <c r="O62" s="131">
        <f t="shared" si="43"/>
        <v>7444.2239999999993</v>
      </c>
      <c r="P62" s="131">
        <f t="shared" si="43"/>
        <v>4466.5343999999996</v>
      </c>
      <c r="Q62" s="131">
        <f t="shared" si="43"/>
        <v>2679.9206400000003</v>
      </c>
    </row>
    <row r="63" spans="1:17">
      <c r="A63" s="129" t="str">
        <f>A57</f>
        <v>Accumulated Depreciation</v>
      </c>
      <c r="B63" s="129"/>
      <c r="C63" s="131">
        <f>C62</f>
        <v>14360</v>
      </c>
      <c r="D63" s="131">
        <f t="shared" ref="D63:I63" si="44">D62+C63</f>
        <v>28720</v>
      </c>
      <c r="E63" s="131">
        <f t="shared" si="44"/>
        <v>43080</v>
      </c>
      <c r="F63" s="131">
        <f t="shared" si="44"/>
        <v>57440</v>
      </c>
      <c r="G63" s="131">
        <f t="shared" si="44"/>
        <v>71800</v>
      </c>
      <c r="H63" s="131">
        <f t="shared" si="44"/>
        <v>86160</v>
      </c>
      <c r="I63" s="131">
        <f t="shared" si="44"/>
        <v>100520</v>
      </c>
      <c r="J63" s="68"/>
      <c r="K63" s="131">
        <f>K62</f>
        <v>57440</v>
      </c>
      <c r="L63" s="131">
        <f t="shared" ref="L63:Q63" si="45">L62+K63</f>
        <v>91904</v>
      </c>
      <c r="M63" s="131">
        <f t="shared" si="45"/>
        <v>112582.39999999999</v>
      </c>
      <c r="N63" s="131">
        <f t="shared" si="45"/>
        <v>124989.44</v>
      </c>
      <c r="O63" s="131">
        <f t="shared" si="45"/>
        <v>132433.66399999999</v>
      </c>
      <c r="P63" s="131">
        <f t="shared" si="45"/>
        <v>136900.19839999999</v>
      </c>
      <c r="Q63" s="131">
        <f t="shared" si="45"/>
        <v>139580.11903999999</v>
      </c>
    </row>
    <row r="64" spans="1:17">
      <c r="A64" s="129" t="str">
        <f>A58</f>
        <v>Net Fixed Assets</v>
      </c>
      <c r="B64" s="129"/>
      <c r="C64" s="131">
        <f t="shared" ref="C64:I64" si="46">C61-C62</f>
        <v>129240</v>
      </c>
      <c r="D64" s="131">
        <f t="shared" si="46"/>
        <v>114880</v>
      </c>
      <c r="E64" s="131">
        <f t="shared" si="46"/>
        <v>100520</v>
      </c>
      <c r="F64" s="131">
        <f t="shared" si="46"/>
        <v>86160</v>
      </c>
      <c r="G64" s="131">
        <f t="shared" si="46"/>
        <v>71800</v>
      </c>
      <c r="H64" s="131">
        <f t="shared" si="46"/>
        <v>57440</v>
      </c>
      <c r="I64" s="131">
        <f t="shared" si="46"/>
        <v>43080</v>
      </c>
      <c r="J64" s="68"/>
      <c r="K64" s="131">
        <f t="shared" ref="K64:Q64" si="47">K61-K62</f>
        <v>86160</v>
      </c>
      <c r="L64" s="131">
        <f t="shared" si="47"/>
        <v>51696</v>
      </c>
      <c r="M64" s="131">
        <f t="shared" si="47"/>
        <v>31017.599999999999</v>
      </c>
      <c r="N64" s="131">
        <f t="shared" si="47"/>
        <v>18610.559999999998</v>
      </c>
      <c r="O64" s="131">
        <f t="shared" si="47"/>
        <v>11166.335999999999</v>
      </c>
      <c r="P64" s="131">
        <f t="shared" si="47"/>
        <v>6699.8015999999998</v>
      </c>
      <c r="Q64" s="131">
        <f t="shared" si="47"/>
        <v>4019.8809599999995</v>
      </c>
    </row>
    <row r="65" spans="1:17">
      <c r="A65" s="130" t="s">
        <v>204</v>
      </c>
      <c r="B65" s="130"/>
      <c r="C65" s="125">
        <f t="shared" ref="C65:I68" si="48">C49+C43+C37+C55+C61</f>
        <v>20002325</v>
      </c>
      <c r="D65" s="125">
        <f t="shared" si="48"/>
        <v>18913196.011</v>
      </c>
      <c r="E65" s="125">
        <f t="shared" si="48"/>
        <v>17824067.022</v>
      </c>
      <c r="F65" s="125">
        <f t="shared" si="48"/>
        <v>16734938.033</v>
      </c>
      <c r="G65" s="125">
        <f t="shared" si="48"/>
        <v>15645809.044</v>
      </c>
      <c r="H65" s="125">
        <f t="shared" si="48"/>
        <v>14556680.055</v>
      </c>
      <c r="I65" s="125">
        <f t="shared" si="48"/>
        <v>13467551.066</v>
      </c>
      <c r="J65" s="68"/>
      <c r="K65" s="125">
        <f t="shared" ref="K65:Q68" si="49">K49+K43+K37+K55+K61</f>
        <v>20002325</v>
      </c>
      <c r="L65" s="125">
        <f t="shared" si="49"/>
        <v>17409326.25</v>
      </c>
      <c r="M65" s="125">
        <f t="shared" si="49"/>
        <v>15175312.3125</v>
      </c>
      <c r="N65" s="125">
        <f t="shared" si="49"/>
        <v>13245123.965624999</v>
      </c>
      <c r="O65" s="125">
        <f t="shared" si="49"/>
        <v>11573730.220781252</v>
      </c>
      <c r="P65" s="125">
        <f t="shared" si="49"/>
        <v>10123834.37266406</v>
      </c>
      <c r="Q65" s="125">
        <f t="shared" si="49"/>
        <v>8864202.3252644539</v>
      </c>
    </row>
    <row r="66" spans="1:17">
      <c r="A66" s="130" t="s">
        <v>205</v>
      </c>
      <c r="B66" s="130"/>
      <c r="C66" s="125">
        <f t="shared" si="48"/>
        <v>1089128.9889999998</v>
      </c>
      <c r="D66" s="125">
        <f t="shared" si="48"/>
        <v>1089128.9889999998</v>
      </c>
      <c r="E66" s="125">
        <f t="shared" si="48"/>
        <v>1089128.9889999998</v>
      </c>
      <c r="F66" s="125">
        <f t="shared" si="48"/>
        <v>1089128.9889999998</v>
      </c>
      <c r="G66" s="125">
        <f t="shared" si="48"/>
        <v>1089128.9889999998</v>
      </c>
      <c r="H66" s="125">
        <f t="shared" si="48"/>
        <v>1089128.9889999998</v>
      </c>
      <c r="I66" s="125">
        <f t="shared" si="48"/>
        <v>1089128.9889999998</v>
      </c>
      <c r="J66" s="68"/>
      <c r="K66" s="125">
        <f t="shared" si="49"/>
        <v>2592998.75</v>
      </c>
      <c r="L66" s="125">
        <f t="shared" si="49"/>
        <v>2234013.9375</v>
      </c>
      <c r="M66" s="125">
        <f t="shared" si="49"/>
        <v>1930188.3468749998</v>
      </c>
      <c r="N66" s="125">
        <f t="shared" si="49"/>
        <v>1671393.7448437503</v>
      </c>
      <c r="O66" s="125">
        <f t="shared" si="49"/>
        <v>1449895.8481171874</v>
      </c>
      <c r="P66" s="125">
        <f t="shared" si="49"/>
        <v>1259632.0473996093</v>
      </c>
      <c r="Q66" s="125">
        <f t="shared" si="49"/>
        <v>1095744.0759396679</v>
      </c>
    </row>
    <row r="67" spans="1:17">
      <c r="A67" s="130" t="s">
        <v>206</v>
      </c>
      <c r="B67" s="130"/>
      <c r="C67" s="125">
        <f t="shared" si="48"/>
        <v>1089128.9889999998</v>
      </c>
      <c r="D67" s="125">
        <f t="shared" si="48"/>
        <v>2178257.9779999997</v>
      </c>
      <c r="E67" s="125">
        <f t="shared" si="48"/>
        <v>3267386.9669999997</v>
      </c>
      <c r="F67" s="125">
        <f t="shared" si="48"/>
        <v>4356515.9559999993</v>
      </c>
      <c r="G67" s="125">
        <f t="shared" si="48"/>
        <v>5445644.9449999994</v>
      </c>
      <c r="H67" s="125">
        <f t="shared" si="48"/>
        <v>6534773.9339999994</v>
      </c>
      <c r="I67" s="125">
        <f t="shared" si="48"/>
        <v>7623902.9229999986</v>
      </c>
      <c r="J67" s="68"/>
      <c r="K67" s="125">
        <f t="shared" si="49"/>
        <v>2592998.75</v>
      </c>
      <c r="L67" s="125">
        <f t="shared" si="49"/>
        <v>4827012.6875</v>
      </c>
      <c r="M67" s="125">
        <f t="shared" si="49"/>
        <v>6757201.0343750007</v>
      </c>
      <c r="N67" s="125">
        <f t="shared" si="49"/>
        <v>8428594.7792187501</v>
      </c>
      <c r="O67" s="125">
        <f t="shared" si="49"/>
        <v>9878490.6273359396</v>
      </c>
      <c r="P67" s="125">
        <f t="shared" si="49"/>
        <v>11138122.674735546</v>
      </c>
      <c r="Q67" s="125">
        <f t="shared" si="49"/>
        <v>12233866.750675213</v>
      </c>
    </row>
    <row r="68" spans="1:17">
      <c r="A68" s="130" t="s">
        <v>200</v>
      </c>
      <c r="B68" s="130"/>
      <c r="C68" s="125">
        <f t="shared" si="48"/>
        <v>18913196.011</v>
      </c>
      <c r="D68" s="125">
        <f t="shared" si="48"/>
        <v>17824067.022</v>
      </c>
      <c r="E68" s="125">
        <f t="shared" si="48"/>
        <v>16734938.033</v>
      </c>
      <c r="F68" s="125">
        <f t="shared" si="48"/>
        <v>15645809.044</v>
      </c>
      <c r="G68" s="125">
        <f t="shared" si="48"/>
        <v>14556680.055</v>
      </c>
      <c r="H68" s="125">
        <f t="shared" si="48"/>
        <v>13467551.066</v>
      </c>
      <c r="I68" s="125">
        <f t="shared" si="48"/>
        <v>12378422.077</v>
      </c>
      <c r="J68" s="68"/>
      <c r="K68" s="125">
        <f t="shared" si="49"/>
        <v>17409326.25</v>
      </c>
      <c r="L68" s="125">
        <f t="shared" si="49"/>
        <v>15175312.3125</v>
      </c>
      <c r="M68" s="125">
        <f t="shared" si="49"/>
        <v>13245123.965624999</v>
      </c>
      <c r="N68" s="125">
        <f t="shared" si="49"/>
        <v>11573730.220781252</v>
      </c>
      <c r="O68" s="125">
        <f t="shared" si="49"/>
        <v>10123834.37266406</v>
      </c>
      <c r="P68" s="125">
        <f t="shared" si="49"/>
        <v>8864202.3252644539</v>
      </c>
      <c r="Q68" s="125">
        <f t="shared" si="49"/>
        <v>7768458.2493247855</v>
      </c>
    </row>
    <row r="69" spans="1:17">
      <c r="A69" s="134"/>
      <c r="B69" s="134"/>
      <c r="C69" s="135"/>
      <c r="D69" s="135"/>
      <c r="E69" s="135"/>
      <c r="F69" s="135"/>
      <c r="G69" s="135"/>
      <c r="H69" s="135"/>
      <c r="I69" s="135"/>
      <c r="J69" s="67"/>
    </row>
    <row r="70" spans="1:17">
      <c r="A70" s="67"/>
      <c r="B70" s="67"/>
      <c r="C70" s="67"/>
      <c r="D70" s="67"/>
      <c r="E70" s="67"/>
      <c r="F70" s="67"/>
      <c r="G70" s="67"/>
      <c r="H70" s="67"/>
      <c r="I70" s="67"/>
      <c r="J70" s="67"/>
    </row>
    <row r="71" spans="1:17" ht="29.25">
      <c r="A71" s="301" t="s">
        <v>207</v>
      </c>
      <c r="B71" s="136" t="s">
        <v>208</v>
      </c>
      <c r="C71" s="137" t="s">
        <v>209</v>
      </c>
      <c r="D71" s="67"/>
      <c r="E71" s="67"/>
      <c r="F71" s="67"/>
      <c r="G71" s="67"/>
      <c r="H71" s="67"/>
      <c r="I71" s="67"/>
      <c r="J71" s="67"/>
    </row>
    <row r="72" spans="1:17" ht="29.25">
      <c r="A72" s="138" t="s">
        <v>210</v>
      </c>
      <c r="B72" s="136" t="s">
        <v>211</v>
      </c>
      <c r="C72" s="137" t="s">
        <v>212</v>
      </c>
      <c r="D72" s="67"/>
      <c r="E72" s="67"/>
      <c r="F72" s="67"/>
      <c r="G72" s="67"/>
      <c r="H72" s="67"/>
      <c r="I72" s="67"/>
      <c r="J72" s="67"/>
    </row>
    <row r="73" spans="1:17">
      <c r="A73" s="138" t="s">
        <v>148</v>
      </c>
      <c r="B73" s="139">
        <v>0</v>
      </c>
      <c r="C73" s="139">
        <v>0</v>
      </c>
      <c r="D73" s="67"/>
      <c r="E73" s="67"/>
      <c r="F73" s="67"/>
      <c r="G73" s="67"/>
      <c r="H73" s="67"/>
      <c r="I73" s="67"/>
      <c r="J73" s="67"/>
    </row>
    <row r="74" spans="1:17">
      <c r="A74" s="140" t="s">
        <v>201</v>
      </c>
      <c r="B74" s="139">
        <v>3.1699999999999999E-2</v>
      </c>
      <c r="C74" s="139">
        <v>0.1</v>
      </c>
      <c r="D74" s="141"/>
      <c r="E74" s="67"/>
      <c r="F74" s="67"/>
      <c r="G74" s="67"/>
      <c r="H74" s="67"/>
      <c r="I74" s="67"/>
      <c r="J74" s="67"/>
    </row>
    <row r="75" spans="1:17">
      <c r="A75" s="140" t="s">
        <v>203</v>
      </c>
      <c r="B75" s="142">
        <v>0.1</v>
      </c>
      <c r="C75" s="139">
        <v>0.1</v>
      </c>
      <c r="D75" s="67"/>
      <c r="E75" s="67"/>
      <c r="F75" s="67"/>
      <c r="G75" s="67"/>
      <c r="H75" s="67"/>
      <c r="I75" s="67"/>
      <c r="J75" s="67"/>
    </row>
    <row r="76" spans="1:17">
      <c r="A76" s="67" t="s">
        <v>213</v>
      </c>
      <c r="B76" s="142">
        <v>0.1</v>
      </c>
      <c r="C76" s="142">
        <v>0.4</v>
      </c>
      <c r="D76" s="67"/>
      <c r="E76" s="67"/>
      <c r="F76" s="67"/>
      <c r="G76" s="67"/>
      <c r="H76" s="67"/>
      <c r="I76" s="67"/>
      <c r="J76" s="67"/>
    </row>
    <row r="77" spans="1:17">
      <c r="A77" s="67" t="s">
        <v>277</v>
      </c>
      <c r="B77" s="142">
        <v>0.1188</v>
      </c>
      <c r="C77" s="142">
        <v>0.15</v>
      </c>
      <c r="D77" s="67"/>
      <c r="E77" s="67"/>
      <c r="F77" s="67"/>
      <c r="G77" s="67"/>
      <c r="H77" s="67"/>
      <c r="I77" s="67"/>
      <c r="J77" s="67"/>
    </row>
    <row r="78" spans="1:17">
      <c r="A78" s="140" t="s">
        <v>214</v>
      </c>
      <c r="B78" s="142">
        <v>6.3299999999999995E-2</v>
      </c>
      <c r="C78" s="142">
        <v>0.15</v>
      </c>
      <c r="D78" s="67"/>
      <c r="E78" s="67"/>
      <c r="F78" s="67"/>
      <c r="G78" s="67"/>
      <c r="H78" s="67"/>
      <c r="I78" s="67"/>
      <c r="J78" s="67"/>
    </row>
    <row r="79" spans="1:17" ht="29.25">
      <c r="A79" s="138" t="s">
        <v>207</v>
      </c>
      <c r="B79" s="139"/>
      <c r="C79" s="141"/>
      <c r="D79" s="67"/>
      <c r="E79" s="67"/>
      <c r="F79" s="67"/>
      <c r="G79" s="67"/>
      <c r="H79" s="67"/>
      <c r="I79" s="67"/>
      <c r="J79" s="67"/>
    </row>
    <row r="80" spans="1:17">
      <c r="A80" s="140" t="s">
        <v>215</v>
      </c>
      <c r="B80" s="141">
        <v>0.2</v>
      </c>
      <c r="C80" s="141">
        <v>0.2</v>
      </c>
      <c r="D80" s="67"/>
      <c r="E80" s="67"/>
      <c r="F80" s="67"/>
      <c r="G80" s="67"/>
      <c r="H80" s="67"/>
      <c r="I80" s="67"/>
      <c r="J80" s="67"/>
    </row>
    <row r="81" spans="1:12">
      <c r="A81" s="67"/>
      <c r="B81" s="67"/>
      <c r="C81" s="67"/>
      <c r="D81" s="67"/>
      <c r="E81" s="67"/>
      <c r="F81" s="67"/>
      <c r="G81" s="67"/>
      <c r="H81" s="67"/>
      <c r="I81" s="67"/>
      <c r="J81" s="67"/>
    </row>
    <row r="82" spans="1:12">
      <c r="A82" s="67"/>
      <c r="B82" s="67"/>
      <c r="C82" s="67"/>
      <c r="D82" s="67"/>
      <c r="E82" s="143"/>
      <c r="F82" s="67"/>
      <c r="G82" s="67"/>
      <c r="H82" s="67"/>
      <c r="I82" s="67"/>
      <c r="J82" s="67"/>
    </row>
    <row r="83" spans="1:12" s="23" customFormat="1" ht="18.75">
      <c r="A83" s="381" t="s">
        <v>529</v>
      </c>
      <c r="B83" s="381"/>
      <c r="C83" s="381"/>
      <c r="D83" s="381"/>
      <c r="E83" s="381"/>
      <c r="F83" s="381"/>
      <c r="G83" s="381"/>
      <c r="H83" s="381"/>
      <c r="I83" s="381"/>
      <c r="J83" s="381"/>
    </row>
    <row r="84" spans="1:12" s="23" customFormat="1">
      <c r="A84" s="24"/>
      <c r="B84" s="24"/>
    </row>
    <row r="85" spans="1:12" s="23" customFormat="1">
      <c r="A85" s="305" t="s">
        <v>0</v>
      </c>
      <c r="B85" s="306" t="s">
        <v>337</v>
      </c>
      <c r="C85" s="307" t="s">
        <v>2</v>
      </c>
      <c r="D85" s="307" t="s">
        <v>3</v>
      </c>
      <c r="E85" s="307" t="s">
        <v>4</v>
      </c>
      <c r="F85" s="307" t="s">
        <v>5</v>
      </c>
      <c r="G85" s="307" t="s">
        <v>6</v>
      </c>
      <c r="H85" s="307" t="s">
        <v>169</v>
      </c>
      <c r="I85" s="307" t="s">
        <v>168</v>
      </c>
      <c r="J85" s="27"/>
      <c r="K85" s="27"/>
      <c r="L85" s="27"/>
    </row>
    <row r="86" spans="1:12" s="23" customFormat="1">
      <c r="A86" s="120" t="s">
        <v>255</v>
      </c>
      <c r="B86" s="121">
        <v>5</v>
      </c>
      <c r="C86" s="122">
        <f>'1.Project Cost and MOF'!$D$10/5</f>
        <v>126000</v>
      </c>
      <c r="D86" s="122">
        <f>'1.Project Cost and MOF'!$D$10/5</f>
        <v>126000</v>
      </c>
      <c r="E86" s="122">
        <f>'1.Project Cost and MOF'!$D$10/5</f>
        <v>126000</v>
      </c>
      <c r="F86" s="122">
        <f>'1.Project Cost and MOF'!$D$10/5</f>
        <v>126000</v>
      </c>
      <c r="G86" s="122">
        <f>'1.Project Cost and MOF'!$D$10/5</f>
        <v>126000</v>
      </c>
      <c r="H86" s="122">
        <v>0</v>
      </c>
      <c r="I86" s="122">
        <v>0</v>
      </c>
      <c r="J86" s="27"/>
      <c r="K86" s="27"/>
      <c r="L86" s="27"/>
    </row>
    <row r="87" spans="1:12" s="23" customFormat="1">
      <c r="A87" s="123" t="s">
        <v>338</v>
      </c>
      <c r="B87" s="124"/>
      <c r="C87" s="125">
        <f t="shared" ref="C87:I87" si="50">SUM(C85:C86)</f>
        <v>126000</v>
      </c>
      <c r="D87" s="125">
        <f t="shared" si="50"/>
        <v>126000</v>
      </c>
      <c r="E87" s="125">
        <f t="shared" si="50"/>
        <v>126000</v>
      </c>
      <c r="F87" s="125">
        <f t="shared" si="50"/>
        <v>126000</v>
      </c>
      <c r="G87" s="125">
        <f t="shared" si="50"/>
        <v>126000</v>
      </c>
      <c r="H87" s="125">
        <f t="shared" si="50"/>
        <v>0</v>
      </c>
      <c r="I87" s="125">
        <f t="shared" si="50"/>
        <v>0</v>
      </c>
      <c r="J87" s="48"/>
      <c r="K87" s="48"/>
      <c r="L87" s="48"/>
    </row>
    <row r="88" spans="1:12" s="23" customFormat="1">
      <c r="C88" s="27"/>
      <c r="D88" s="27"/>
      <c r="E88" s="27"/>
      <c r="F88" s="27"/>
      <c r="G88" s="27"/>
      <c r="H88" s="27"/>
      <c r="I88" s="27"/>
      <c r="J88" s="27"/>
      <c r="K88" s="27"/>
      <c r="L88" s="27"/>
    </row>
    <row r="91" spans="1:12">
      <c r="A91" s="22"/>
      <c r="B91" s="23"/>
      <c r="C91" s="23"/>
      <c r="D91" s="23"/>
      <c r="E91" s="23"/>
      <c r="F91" s="23"/>
      <c r="G91" s="23"/>
      <c r="H91" s="23"/>
      <c r="I91" s="23"/>
      <c r="J91" s="23"/>
      <c r="K91" s="23"/>
    </row>
    <row r="92" spans="1:12" ht="18.75">
      <c r="A92" s="391" t="s">
        <v>530</v>
      </c>
      <c r="B92" s="391"/>
      <c r="C92" s="391"/>
      <c r="D92" s="391"/>
      <c r="E92" s="391"/>
      <c r="F92" s="391"/>
      <c r="G92" s="391"/>
      <c r="H92" s="391"/>
      <c r="I92" s="117"/>
      <c r="J92" s="117"/>
      <c r="K92" s="117"/>
    </row>
    <row r="93" spans="1:12">
      <c r="A93" s="24"/>
      <c r="B93" s="23"/>
      <c r="C93" s="23"/>
      <c r="D93" s="23"/>
      <c r="E93" s="23"/>
      <c r="F93" s="23"/>
      <c r="G93" s="23"/>
      <c r="H93" s="23"/>
      <c r="I93" s="23"/>
      <c r="J93" s="23"/>
      <c r="K93" s="23"/>
    </row>
    <row r="94" spans="1:12">
      <c r="A94" s="291" t="s">
        <v>0</v>
      </c>
      <c r="B94" s="300" t="s">
        <v>2</v>
      </c>
      <c r="C94" s="300" t="s">
        <v>3</v>
      </c>
      <c r="D94" s="300" t="s">
        <v>4</v>
      </c>
      <c r="E94" s="300" t="s">
        <v>5</v>
      </c>
      <c r="F94" s="300" t="s">
        <v>6</v>
      </c>
      <c r="G94" s="300" t="s">
        <v>169</v>
      </c>
      <c r="H94" s="300" t="s">
        <v>168</v>
      </c>
      <c r="I94" s="19"/>
      <c r="J94" s="19"/>
      <c r="K94" s="19"/>
    </row>
    <row r="95" spans="1:12">
      <c r="A95" s="55" t="s">
        <v>228</v>
      </c>
      <c r="B95" s="118">
        <f>'6.Cons Profit &amp; Loss'!B49</f>
        <v>1151471.2251150836</v>
      </c>
      <c r="C95" s="118">
        <f>'6.Cons Profit &amp; Loss'!C49</f>
        <v>1791430.8511218515</v>
      </c>
      <c r="D95" s="118">
        <f>'6.Cons Profit &amp; Loss'!D49</f>
        <v>3144340.5560302259</v>
      </c>
      <c r="E95" s="118">
        <f>'6.Cons Profit &amp; Loss'!E49</f>
        <v>4625895.980986936</v>
      </c>
      <c r="F95" s="118">
        <f>'6.Cons Profit &amp; Loss'!F49</f>
        <v>6246194.7438267674</v>
      </c>
      <c r="G95" s="118">
        <f>'6.Cons Profit &amp; Loss'!G49</f>
        <v>8142100.6478570569</v>
      </c>
      <c r="H95" s="118">
        <f>'6.Cons Profit &amp; Loss'!H49</f>
        <v>10073304.9535308</v>
      </c>
      <c r="I95" s="26"/>
      <c r="J95" s="26"/>
      <c r="K95" s="26"/>
    </row>
    <row r="96" spans="1:12">
      <c r="A96" s="55" t="s">
        <v>229</v>
      </c>
      <c r="B96" s="118">
        <f>'6.Cons Profit &amp; Loss'!B42</f>
        <v>1089128.9889999998</v>
      </c>
      <c r="C96" s="118">
        <f>'6.Cons Profit &amp; Loss'!C42</f>
        <v>1089128.9889999998</v>
      </c>
      <c r="D96" s="118">
        <f>'6.Cons Profit &amp; Loss'!D42</f>
        <v>1089128.9889999998</v>
      </c>
      <c r="E96" s="118">
        <f>'6.Cons Profit &amp; Loss'!E42</f>
        <v>1089128.9889999998</v>
      </c>
      <c r="F96" s="118">
        <f>'6.Cons Profit &amp; Loss'!F42</f>
        <v>1089128.9889999998</v>
      </c>
      <c r="G96" s="118">
        <f>'6.Cons Profit &amp; Loss'!G42</f>
        <v>1089128.9889999998</v>
      </c>
      <c r="H96" s="118">
        <f>'6.Cons Profit &amp; Loss'!H42</f>
        <v>1089128.9889999998</v>
      </c>
      <c r="I96" s="26"/>
      <c r="J96" s="26"/>
      <c r="K96" s="26"/>
    </row>
    <row r="97" spans="1:11">
      <c r="A97" s="55" t="s">
        <v>230</v>
      </c>
      <c r="B97" s="118">
        <f>'3.Other Exp &amp; Taxes'!K66</f>
        <v>2592998.75</v>
      </c>
      <c r="C97" s="118">
        <f>'3.Other Exp &amp; Taxes'!L66</f>
        <v>2234013.9375</v>
      </c>
      <c r="D97" s="118">
        <f>'3.Other Exp &amp; Taxes'!M66</f>
        <v>1930188.3468749998</v>
      </c>
      <c r="E97" s="118">
        <f>'3.Other Exp &amp; Taxes'!N66</f>
        <v>1671393.7448437503</v>
      </c>
      <c r="F97" s="118">
        <f>'3.Other Exp &amp; Taxes'!O66</f>
        <v>1449895.8481171874</v>
      </c>
      <c r="G97" s="118">
        <f>'3.Other Exp &amp; Taxes'!P66</f>
        <v>1259632.0473996093</v>
      </c>
      <c r="H97" s="118">
        <f>'3.Other Exp &amp; Taxes'!Q66</f>
        <v>1095744.0759396679</v>
      </c>
      <c r="I97" s="26"/>
      <c r="J97" s="26"/>
      <c r="K97" s="26"/>
    </row>
    <row r="98" spans="1:11">
      <c r="A98" s="55" t="s">
        <v>289</v>
      </c>
      <c r="B98" s="303">
        <f t="shared" ref="B98:H98" si="51">B95+B96-B97</f>
        <v>-352398.53588491678</v>
      </c>
      <c r="C98" s="118">
        <f t="shared" si="51"/>
        <v>646545.9026218513</v>
      </c>
      <c r="D98" s="118">
        <f t="shared" si="51"/>
        <v>2303281.1981552262</v>
      </c>
      <c r="E98" s="118">
        <f t="shared" si="51"/>
        <v>4043631.2251431858</v>
      </c>
      <c r="F98" s="118">
        <f t="shared" si="51"/>
        <v>5885427.8847095799</v>
      </c>
      <c r="G98" s="118">
        <f t="shared" si="51"/>
        <v>7971597.5894574476</v>
      </c>
      <c r="H98" s="118">
        <f t="shared" si="51"/>
        <v>10066689.866591131</v>
      </c>
      <c r="I98" s="26"/>
      <c r="J98" s="26"/>
      <c r="K98" s="26"/>
    </row>
    <row r="99" spans="1:11">
      <c r="A99" s="58" t="s">
        <v>231</v>
      </c>
      <c r="B99" s="304">
        <f t="shared" ref="B99:H99" si="52">B98*$B$102</f>
        <v>-91623.619330078363</v>
      </c>
      <c r="C99" s="119">
        <f t="shared" si="52"/>
        <v>168101.93468168133</v>
      </c>
      <c r="D99" s="119">
        <f t="shared" si="52"/>
        <v>598853.11152035883</v>
      </c>
      <c r="E99" s="119">
        <f t="shared" si="52"/>
        <v>1051344.1185372283</v>
      </c>
      <c r="F99" s="119">
        <f t="shared" si="52"/>
        <v>1530211.2500244908</v>
      </c>
      <c r="G99" s="119">
        <f t="shared" si="52"/>
        <v>2072615.3732589365</v>
      </c>
      <c r="H99" s="119">
        <f t="shared" si="52"/>
        <v>2617339.3653136943</v>
      </c>
      <c r="I99" s="26"/>
      <c r="J99" s="26"/>
      <c r="K99" s="26"/>
    </row>
    <row r="100" spans="1:11">
      <c r="A100" s="25"/>
      <c r="B100" s="23"/>
      <c r="C100" s="23"/>
      <c r="D100" s="23"/>
      <c r="E100" s="23"/>
      <c r="F100" s="23"/>
      <c r="G100" s="23"/>
      <c r="H100" s="23"/>
      <c r="I100" s="23"/>
      <c r="J100" s="23"/>
      <c r="K100" s="23"/>
    </row>
    <row r="101" spans="1:11">
      <c r="A101" s="25"/>
      <c r="B101" s="27"/>
      <c r="C101" s="27"/>
      <c r="D101" s="27"/>
      <c r="E101" s="27"/>
      <c r="F101" s="27"/>
      <c r="G101" s="27"/>
      <c r="H101" s="27"/>
      <c r="I101" s="27"/>
      <c r="J101" s="27"/>
      <c r="K101" s="27"/>
    </row>
    <row r="102" spans="1:11">
      <c r="A102" s="28" t="s">
        <v>390</v>
      </c>
      <c r="B102" s="302">
        <v>0.26</v>
      </c>
      <c r="C102" s="27"/>
      <c r="D102" s="27"/>
      <c r="E102" s="27"/>
      <c r="F102" s="27"/>
      <c r="G102" s="27"/>
      <c r="H102" s="27"/>
      <c r="I102" s="27"/>
      <c r="J102" s="27"/>
      <c r="K102" s="27"/>
    </row>
    <row r="103" spans="1:11">
      <c r="A103" s="23"/>
      <c r="B103" s="23"/>
      <c r="C103" s="23"/>
      <c r="D103" s="23"/>
      <c r="E103" s="23"/>
      <c r="F103" s="23"/>
      <c r="G103" s="23"/>
      <c r="H103" s="23"/>
      <c r="I103" s="23"/>
      <c r="J103" s="23"/>
      <c r="K103" s="23"/>
    </row>
    <row r="104" spans="1:11" ht="29.1" customHeight="1">
      <c r="A104" s="392" t="s">
        <v>416</v>
      </c>
      <c r="B104" s="392"/>
      <c r="C104" s="392"/>
      <c r="D104" s="392"/>
      <c r="E104" s="392"/>
      <c r="F104" s="392"/>
      <c r="G104" s="392"/>
      <c r="H104" s="392"/>
      <c r="I104" s="21"/>
      <c r="J104" s="21"/>
      <c r="K104" s="21"/>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dimension ref="A2:I98"/>
  <sheetViews>
    <sheetView view="pageBreakPreview" topLeftCell="A4" zoomScale="80" zoomScaleSheetLayoutView="80" workbookViewId="0">
      <selection activeCell="K14" sqref="K14"/>
    </sheetView>
  </sheetViews>
  <sheetFormatPr defaultRowHeight="15"/>
  <cols>
    <col min="2" max="2" width="15.42578125" customWidth="1"/>
    <col min="3" max="3" width="28.28515625" bestFit="1" customWidth="1"/>
    <col min="4" max="4" width="14.7109375" customWidth="1"/>
    <col min="5" max="5" width="25.7109375" bestFit="1" customWidth="1"/>
    <col min="6" max="6" width="12.28515625" customWidth="1"/>
    <col min="7" max="7" width="27.28515625" bestFit="1" customWidth="1"/>
    <col min="8" max="8" width="12.28515625" bestFit="1" customWidth="1"/>
    <col min="9" max="9" width="11.7109375" bestFit="1" customWidth="1"/>
  </cols>
  <sheetData>
    <row r="2" spans="1:7" ht="18.75">
      <c r="A2" s="381" t="s">
        <v>531</v>
      </c>
      <c r="B2" s="381"/>
      <c r="C2" s="381"/>
      <c r="D2" s="381"/>
      <c r="E2" s="381"/>
      <c r="F2" s="381"/>
      <c r="G2" s="396"/>
    </row>
    <row r="3" spans="1:7">
      <c r="B3" s="13"/>
      <c r="C3" s="13"/>
      <c r="D3" s="13"/>
      <c r="E3" s="13"/>
      <c r="F3" s="13"/>
      <c r="G3" s="13"/>
    </row>
    <row r="4" spans="1:7">
      <c r="A4" s="67"/>
      <c r="B4" s="67"/>
      <c r="C4" s="67" t="s">
        <v>462</v>
      </c>
      <c r="D4" s="82">
        <f>'1.Project Cost and MOF'!E20</f>
        <v>7162575.3000000026</v>
      </c>
      <c r="E4" s="67"/>
      <c r="F4" s="67"/>
      <c r="G4" s="67"/>
    </row>
    <row r="5" spans="1:7">
      <c r="A5" s="67"/>
      <c r="B5" s="67"/>
      <c r="C5" s="67" t="s">
        <v>463</v>
      </c>
      <c r="D5" s="308">
        <v>0.12</v>
      </c>
      <c r="E5" s="67"/>
      <c r="F5" s="67"/>
      <c r="G5" s="67"/>
    </row>
    <row r="6" spans="1:7">
      <c r="A6" s="67"/>
      <c r="B6" s="67"/>
      <c r="C6" s="67" t="s">
        <v>464</v>
      </c>
      <c r="D6" s="309">
        <v>7</v>
      </c>
      <c r="E6" s="67"/>
      <c r="F6" s="67"/>
      <c r="G6" s="67"/>
    </row>
    <row r="7" spans="1:7">
      <c r="A7" s="67"/>
      <c r="B7" s="67"/>
      <c r="C7" s="67" t="s">
        <v>465</v>
      </c>
      <c r="D7" s="309">
        <v>6</v>
      </c>
      <c r="E7" s="67"/>
      <c r="F7" s="67"/>
      <c r="G7" s="67"/>
    </row>
    <row r="8" spans="1:7">
      <c r="A8" s="67"/>
      <c r="B8" s="67"/>
      <c r="C8" s="67" t="s">
        <v>22</v>
      </c>
      <c r="D8" s="163">
        <f>PMT(D5/12,(D6-(D7/12))*12,-D4)</f>
        <v>132685.84114313664</v>
      </c>
      <c r="E8" s="163"/>
      <c r="F8" s="190"/>
      <c r="G8" s="67"/>
    </row>
    <row r="9" spans="1:7">
      <c r="A9" s="115" t="s">
        <v>290</v>
      </c>
      <c r="B9" s="164" t="s">
        <v>18</v>
      </c>
      <c r="C9" s="165" t="s">
        <v>19</v>
      </c>
      <c r="D9" s="165" t="s">
        <v>20</v>
      </c>
      <c r="E9" s="165" t="s">
        <v>21</v>
      </c>
      <c r="F9" s="165" t="s">
        <v>22</v>
      </c>
      <c r="G9" s="165" t="s">
        <v>23</v>
      </c>
    </row>
    <row r="10" spans="1:7">
      <c r="A10" s="68" t="s">
        <v>11</v>
      </c>
      <c r="B10" s="68" t="s">
        <v>52</v>
      </c>
      <c r="C10" s="69">
        <f>D4</f>
        <v>7162575.3000000026</v>
      </c>
      <c r="D10" s="69">
        <f t="shared" ref="D10:D41" si="0">C10*$D$5/12</f>
        <v>71625.753000000026</v>
      </c>
      <c r="E10" s="69">
        <f t="shared" ref="E10:E15" si="1">F10-D10</f>
        <v>0</v>
      </c>
      <c r="F10" s="69">
        <f>D10</f>
        <v>71625.753000000026</v>
      </c>
      <c r="G10" s="69">
        <f>C10-E10</f>
        <v>7162575.3000000026</v>
      </c>
    </row>
    <row r="11" spans="1:7">
      <c r="A11" s="68"/>
      <c r="B11" s="68" t="s">
        <v>53</v>
      </c>
      <c r="C11" s="69">
        <f>G10</f>
        <v>7162575.3000000026</v>
      </c>
      <c r="D11" s="69">
        <f t="shared" si="0"/>
        <v>71625.753000000026</v>
      </c>
      <c r="E11" s="69">
        <f t="shared" si="1"/>
        <v>0</v>
      </c>
      <c r="F11" s="69">
        <f t="shared" ref="F11:F15" si="2">D11</f>
        <v>71625.753000000026</v>
      </c>
      <c r="G11" s="69">
        <f t="shared" ref="G11:G74" si="3">C11-E11</f>
        <v>7162575.3000000026</v>
      </c>
    </row>
    <row r="12" spans="1:7">
      <c r="A12" s="68"/>
      <c r="B12" s="68" t="s">
        <v>54</v>
      </c>
      <c r="C12" s="69">
        <f t="shared" ref="C12:C75" si="4">G11</f>
        <v>7162575.3000000026</v>
      </c>
      <c r="D12" s="69">
        <f t="shared" si="0"/>
        <v>71625.753000000026</v>
      </c>
      <c r="E12" s="69">
        <f t="shared" si="1"/>
        <v>0</v>
      </c>
      <c r="F12" s="69">
        <f t="shared" si="2"/>
        <v>71625.753000000026</v>
      </c>
      <c r="G12" s="69">
        <f t="shared" si="3"/>
        <v>7162575.3000000026</v>
      </c>
    </row>
    <row r="13" spans="1:7">
      <c r="A13" s="68"/>
      <c r="B13" s="68" t="s">
        <v>55</v>
      </c>
      <c r="C13" s="69">
        <f t="shared" si="4"/>
        <v>7162575.3000000026</v>
      </c>
      <c r="D13" s="69">
        <f t="shared" si="0"/>
        <v>71625.753000000026</v>
      </c>
      <c r="E13" s="69">
        <f t="shared" si="1"/>
        <v>0</v>
      </c>
      <c r="F13" s="69">
        <f t="shared" si="2"/>
        <v>71625.753000000026</v>
      </c>
      <c r="G13" s="69">
        <f t="shared" si="3"/>
        <v>7162575.3000000026</v>
      </c>
    </row>
    <row r="14" spans="1:7">
      <c r="A14" s="68"/>
      <c r="B14" s="68" t="s">
        <v>56</v>
      </c>
      <c r="C14" s="69">
        <f t="shared" si="4"/>
        <v>7162575.3000000026</v>
      </c>
      <c r="D14" s="69">
        <f t="shared" si="0"/>
        <v>71625.753000000026</v>
      </c>
      <c r="E14" s="69">
        <f t="shared" si="1"/>
        <v>0</v>
      </c>
      <c r="F14" s="69">
        <f t="shared" si="2"/>
        <v>71625.753000000026</v>
      </c>
      <c r="G14" s="69">
        <f t="shared" si="3"/>
        <v>7162575.3000000026</v>
      </c>
    </row>
    <row r="15" spans="1:7">
      <c r="A15" s="68"/>
      <c r="B15" s="68" t="s">
        <v>57</v>
      </c>
      <c r="C15" s="69">
        <f t="shared" si="4"/>
        <v>7162575.3000000026</v>
      </c>
      <c r="D15" s="69">
        <f t="shared" si="0"/>
        <v>71625.753000000026</v>
      </c>
      <c r="E15" s="69">
        <f t="shared" si="1"/>
        <v>0</v>
      </c>
      <c r="F15" s="69">
        <f t="shared" si="2"/>
        <v>71625.753000000026</v>
      </c>
      <c r="G15" s="69">
        <f t="shared" si="3"/>
        <v>7162575.3000000026</v>
      </c>
    </row>
    <row r="16" spans="1:7">
      <c r="A16" s="68"/>
      <c r="B16" s="68" t="s">
        <v>58</v>
      </c>
      <c r="C16" s="69">
        <f t="shared" si="4"/>
        <v>7162575.3000000026</v>
      </c>
      <c r="D16" s="69">
        <f t="shared" si="0"/>
        <v>71625.753000000026</v>
      </c>
      <c r="E16" s="69">
        <f>F16-D16</f>
        <v>61060.088143136614</v>
      </c>
      <c r="F16" s="69">
        <f t="shared" ref="F16:F74" si="5">$D$8</f>
        <v>132685.84114313664</v>
      </c>
      <c r="G16" s="69">
        <f t="shared" si="3"/>
        <v>7101515.2118568663</v>
      </c>
    </row>
    <row r="17" spans="1:9">
      <c r="A17" s="68"/>
      <c r="B17" s="68" t="s">
        <v>59</v>
      </c>
      <c r="C17" s="69">
        <f t="shared" si="4"/>
        <v>7101515.2118568663</v>
      </c>
      <c r="D17" s="69">
        <f t="shared" si="0"/>
        <v>71015.152118568658</v>
      </c>
      <c r="E17" s="69">
        <f t="shared" ref="E17:E80" si="6">F17-D17</f>
        <v>61670.689024567982</v>
      </c>
      <c r="F17" s="69">
        <f t="shared" si="5"/>
        <v>132685.84114313664</v>
      </c>
      <c r="G17" s="69">
        <f t="shared" si="3"/>
        <v>7039844.5228322987</v>
      </c>
    </row>
    <row r="18" spans="1:9">
      <c r="A18" s="68"/>
      <c r="B18" s="68" t="s">
        <v>60</v>
      </c>
      <c r="C18" s="69">
        <f t="shared" si="4"/>
        <v>7039844.5228322987</v>
      </c>
      <c r="D18" s="69">
        <f t="shared" si="0"/>
        <v>70398.445228322977</v>
      </c>
      <c r="E18" s="69">
        <f t="shared" si="6"/>
        <v>62287.395914813664</v>
      </c>
      <c r="F18" s="69">
        <f t="shared" si="5"/>
        <v>132685.84114313664</v>
      </c>
      <c r="G18" s="69">
        <f t="shared" si="3"/>
        <v>6977557.1269174851</v>
      </c>
    </row>
    <row r="19" spans="1:9">
      <c r="A19" s="68"/>
      <c r="B19" s="68" t="s">
        <v>61</v>
      </c>
      <c r="C19" s="69">
        <f t="shared" si="4"/>
        <v>6977557.1269174851</v>
      </c>
      <c r="D19" s="69">
        <f t="shared" si="0"/>
        <v>69775.571269174849</v>
      </c>
      <c r="E19" s="69">
        <f t="shared" si="6"/>
        <v>62910.269873961792</v>
      </c>
      <c r="F19" s="69">
        <f t="shared" si="5"/>
        <v>132685.84114313664</v>
      </c>
      <c r="G19" s="69">
        <f t="shared" si="3"/>
        <v>6914646.8570435233</v>
      </c>
    </row>
    <row r="20" spans="1:9">
      <c r="A20" s="68"/>
      <c r="B20" s="68" t="s">
        <v>62</v>
      </c>
      <c r="C20" s="69">
        <f t="shared" si="4"/>
        <v>6914646.8570435233</v>
      </c>
      <c r="D20" s="69">
        <f t="shared" si="0"/>
        <v>69146.468570435231</v>
      </c>
      <c r="E20" s="69">
        <f t="shared" si="6"/>
        <v>63539.37257270141</v>
      </c>
      <c r="F20" s="69">
        <f t="shared" si="5"/>
        <v>132685.84114313664</v>
      </c>
      <c r="G20" s="69">
        <f t="shared" si="3"/>
        <v>6851107.4844708219</v>
      </c>
    </row>
    <row r="21" spans="1:9">
      <c r="A21" s="68"/>
      <c r="B21" s="68" t="s">
        <v>63</v>
      </c>
      <c r="C21" s="69">
        <f t="shared" si="4"/>
        <v>6851107.4844708219</v>
      </c>
      <c r="D21" s="69">
        <f t="shared" si="0"/>
        <v>68511.074844708215</v>
      </c>
      <c r="E21" s="69">
        <f t="shared" si="6"/>
        <v>64174.766298428425</v>
      </c>
      <c r="F21" s="69">
        <f t="shared" si="5"/>
        <v>132685.84114313664</v>
      </c>
      <c r="G21" s="69">
        <f t="shared" si="3"/>
        <v>6786932.7181723937</v>
      </c>
      <c r="H21" s="1"/>
      <c r="I21" s="1"/>
    </row>
    <row r="22" spans="1:9">
      <c r="A22" s="68" t="s">
        <v>12</v>
      </c>
      <c r="B22" s="68" t="s">
        <v>64</v>
      </c>
      <c r="C22" s="69">
        <f t="shared" si="4"/>
        <v>6786932.7181723937</v>
      </c>
      <c r="D22" s="69">
        <f t="shared" si="0"/>
        <v>67869.327181723944</v>
      </c>
      <c r="E22" s="69">
        <f t="shared" si="6"/>
        <v>64816.513961412697</v>
      </c>
      <c r="F22" s="69">
        <f t="shared" si="5"/>
        <v>132685.84114313664</v>
      </c>
      <c r="G22" s="69">
        <f t="shared" si="3"/>
        <v>6722116.2042109808</v>
      </c>
    </row>
    <row r="23" spans="1:9">
      <c r="A23" s="68"/>
      <c r="B23" s="68" t="s">
        <v>65</v>
      </c>
      <c r="C23" s="69">
        <f t="shared" si="4"/>
        <v>6722116.2042109808</v>
      </c>
      <c r="D23" s="69">
        <f t="shared" si="0"/>
        <v>67221.162042109805</v>
      </c>
      <c r="E23" s="69">
        <f t="shared" si="6"/>
        <v>65464.679101026835</v>
      </c>
      <c r="F23" s="69">
        <f t="shared" si="5"/>
        <v>132685.84114313664</v>
      </c>
      <c r="G23" s="69">
        <f t="shared" si="3"/>
        <v>6656651.5251099542</v>
      </c>
    </row>
    <row r="24" spans="1:9">
      <c r="A24" s="68"/>
      <c r="B24" s="68" t="s">
        <v>66</v>
      </c>
      <c r="C24" s="69">
        <f t="shared" si="4"/>
        <v>6656651.5251099542</v>
      </c>
      <c r="D24" s="69">
        <f t="shared" si="0"/>
        <v>66566.515251099539</v>
      </c>
      <c r="E24" s="69">
        <f t="shared" si="6"/>
        <v>66119.325892037101</v>
      </c>
      <c r="F24" s="69">
        <f t="shared" si="5"/>
        <v>132685.84114313664</v>
      </c>
      <c r="G24" s="69">
        <f t="shared" si="3"/>
        <v>6590532.1992179174</v>
      </c>
    </row>
    <row r="25" spans="1:9">
      <c r="A25" s="68"/>
      <c r="B25" s="68" t="s">
        <v>67</v>
      </c>
      <c r="C25" s="69">
        <f t="shared" si="4"/>
        <v>6590532.1992179174</v>
      </c>
      <c r="D25" s="69">
        <f t="shared" si="0"/>
        <v>65905.321992179175</v>
      </c>
      <c r="E25" s="69">
        <f t="shared" si="6"/>
        <v>66780.519150957465</v>
      </c>
      <c r="F25" s="69">
        <f t="shared" si="5"/>
        <v>132685.84114313664</v>
      </c>
      <c r="G25" s="69">
        <f t="shared" si="3"/>
        <v>6523751.6800669599</v>
      </c>
    </row>
    <row r="26" spans="1:9">
      <c r="A26" s="68"/>
      <c r="B26" s="68" t="s">
        <v>68</v>
      </c>
      <c r="C26" s="69">
        <f t="shared" si="4"/>
        <v>6523751.6800669599</v>
      </c>
      <c r="D26" s="69">
        <f t="shared" si="0"/>
        <v>65237.516800669597</v>
      </c>
      <c r="E26" s="69">
        <f t="shared" si="6"/>
        <v>67448.324342467036</v>
      </c>
      <c r="F26" s="69">
        <f t="shared" si="5"/>
        <v>132685.84114313664</v>
      </c>
      <c r="G26" s="69">
        <f t="shared" si="3"/>
        <v>6456303.355724493</v>
      </c>
    </row>
    <row r="27" spans="1:9">
      <c r="A27" s="68"/>
      <c r="B27" s="68" t="s">
        <v>69</v>
      </c>
      <c r="C27" s="69">
        <f t="shared" si="4"/>
        <v>6456303.355724493</v>
      </c>
      <c r="D27" s="69">
        <f t="shared" si="0"/>
        <v>64563.033557244926</v>
      </c>
      <c r="E27" s="69">
        <f t="shared" si="6"/>
        <v>68122.807585891715</v>
      </c>
      <c r="F27" s="69">
        <f t="shared" si="5"/>
        <v>132685.84114313664</v>
      </c>
      <c r="G27" s="69">
        <f t="shared" si="3"/>
        <v>6388180.5481386017</v>
      </c>
    </row>
    <row r="28" spans="1:9">
      <c r="A28" s="68"/>
      <c r="B28" s="68" t="s">
        <v>70</v>
      </c>
      <c r="C28" s="69">
        <f t="shared" si="4"/>
        <v>6388180.5481386017</v>
      </c>
      <c r="D28" s="69">
        <f t="shared" si="0"/>
        <v>63881.805481386014</v>
      </c>
      <c r="E28" s="69">
        <f t="shared" si="6"/>
        <v>68804.035661750619</v>
      </c>
      <c r="F28" s="69">
        <f t="shared" si="5"/>
        <v>132685.84114313664</v>
      </c>
      <c r="G28" s="69">
        <f t="shared" si="3"/>
        <v>6319376.5124768512</v>
      </c>
    </row>
    <row r="29" spans="1:9">
      <c r="A29" s="68"/>
      <c r="B29" s="68" t="s">
        <v>71</v>
      </c>
      <c r="C29" s="69">
        <f t="shared" si="4"/>
        <v>6319376.5124768512</v>
      </c>
      <c r="D29" s="69">
        <f t="shared" si="0"/>
        <v>63193.765124768513</v>
      </c>
      <c r="E29" s="69">
        <f t="shared" si="6"/>
        <v>69492.076018368127</v>
      </c>
      <c r="F29" s="69">
        <f t="shared" si="5"/>
        <v>132685.84114313664</v>
      </c>
      <c r="G29" s="69">
        <f t="shared" si="3"/>
        <v>6249884.4364584833</v>
      </c>
    </row>
    <row r="30" spans="1:9">
      <c r="A30" s="68"/>
      <c r="B30" s="68" t="s">
        <v>72</v>
      </c>
      <c r="C30" s="69">
        <f t="shared" si="4"/>
        <v>6249884.4364584833</v>
      </c>
      <c r="D30" s="69">
        <f t="shared" si="0"/>
        <v>62498.844364584831</v>
      </c>
      <c r="E30" s="69">
        <f t="shared" si="6"/>
        <v>70186.996778551809</v>
      </c>
      <c r="F30" s="69">
        <f t="shared" si="5"/>
        <v>132685.84114313664</v>
      </c>
      <c r="G30" s="69">
        <f t="shared" si="3"/>
        <v>6179697.4396799318</v>
      </c>
    </row>
    <row r="31" spans="1:9">
      <c r="A31" s="68"/>
      <c r="B31" s="68" t="s">
        <v>73</v>
      </c>
      <c r="C31" s="69">
        <f t="shared" si="4"/>
        <v>6179697.4396799318</v>
      </c>
      <c r="D31" s="69">
        <f t="shared" si="0"/>
        <v>61796.974396799313</v>
      </c>
      <c r="E31" s="69">
        <f t="shared" si="6"/>
        <v>70888.866746337328</v>
      </c>
      <c r="F31" s="69">
        <f t="shared" si="5"/>
        <v>132685.84114313664</v>
      </c>
      <c r="G31" s="69">
        <f t="shared" si="3"/>
        <v>6108808.5729335947</v>
      </c>
    </row>
    <row r="32" spans="1:9">
      <c r="A32" s="68"/>
      <c r="B32" s="68" t="s">
        <v>74</v>
      </c>
      <c r="C32" s="69">
        <f t="shared" si="4"/>
        <v>6108808.5729335947</v>
      </c>
      <c r="D32" s="69">
        <f t="shared" si="0"/>
        <v>61088.085729335951</v>
      </c>
      <c r="E32" s="69">
        <f t="shared" si="6"/>
        <v>71597.755413800682</v>
      </c>
      <c r="F32" s="69">
        <f t="shared" si="5"/>
        <v>132685.84114313664</v>
      </c>
      <c r="G32" s="69">
        <f t="shared" si="3"/>
        <v>6037210.8175197942</v>
      </c>
    </row>
    <row r="33" spans="1:9">
      <c r="A33" s="68"/>
      <c r="B33" s="68" t="s">
        <v>75</v>
      </c>
      <c r="C33" s="69">
        <f t="shared" si="4"/>
        <v>6037210.8175197942</v>
      </c>
      <c r="D33" s="69">
        <f t="shared" si="0"/>
        <v>60372.108175197936</v>
      </c>
      <c r="E33" s="69">
        <f t="shared" si="6"/>
        <v>72313.732967938704</v>
      </c>
      <c r="F33" s="69">
        <f t="shared" si="5"/>
        <v>132685.84114313664</v>
      </c>
      <c r="G33" s="69">
        <f t="shared" si="3"/>
        <v>5964897.0845518559</v>
      </c>
      <c r="H33" s="1"/>
      <c r="I33" s="1"/>
    </row>
    <row r="34" spans="1:9">
      <c r="A34" s="68" t="s">
        <v>13</v>
      </c>
      <c r="B34" s="68" t="s">
        <v>76</v>
      </c>
      <c r="C34" s="69">
        <f t="shared" si="4"/>
        <v>5964897.0845518559</v>
      </c>
      <c r="D34" s="69">
        <f t="shared" si="0"/>
        <v>59648.970845518554</v>
      </c>
      <c r="E34" s="69">
        <f t="shared" si="6"/>
        <v>73036.870297618094</v>
      </c>
      <c r="F34" s="69">
        <f t="shared" si="5"/>
        <v>132685.84114313664</v>
      </c>
      <c r="G34" s="69">
        <f t="shared" si="3"/>
        <v>5891860.2142542377</v>
      </c>
    </row>
    <row r="35" spans="1:9">
      <c r="A35" s="68"/>
      <c r="B35" s="68" t="s">
        <v>77</v>
      </c>
      <c r="C35" s="69">
        <f t="shared" si="4"/>
        <v>5891860.2142542377</v>
      </c>
      <c r="D35" s="69">
        <f t="shared" si="0"/>
        <v>58918.602142542375</v>
      </c>
      <c r="E35" s="69">
        <f t="shared" si="6"/>
        <v>73767.239000594273</v>
      </c>
      <c r="F35" s="69">
        <f t="shared" si="5"/>
        <v>132685.84114313664</v>
      </c>
      <c r="G35" s="69">
        <f t="shared" si="3"/>
        <v>5818092.9752536435</v>
      </c>
    </row>
    <row r="36" spans="1:9">
      <c r="A36" s="68"/>
      <c r="B36" s="68" t="s">
        <v>78</v>
      </c>
      <c r="C36" s="69">
        <f t="shared" si="4"/>
        <v>5818092.9752536435</v>
      </c>
      <c r="D36" s="69">
        <f t="shared" si="0"/>
        <v>58180.929752536431</v>
      </c>
      <c r="E36" s="69">
        <f t="shared" si="6"/>
        <v>74504.911390600202</v>
      </c>
      <c r="F36" s="69">
        <f t="shared" si="5"/>
        <v>132685.84114313664</v>
      </c>
      <c r="G36" s="69">
        <f t="shared" si="3"/>
        <v>5743588.0638630437</v>
      </c>
    </row>
    <row r="37" spans="1:9">
      <c r="A37" s="68"/>
      <c r="B37" s="68" t="s">
        <v>79</v>
      </c>
      <c r="C37" s="69">
        <f t="shared" si="4"/>
        <v>5743588.0638630437</v>
      </c>
      <c r="D37" s="69">
        <f t="shared" si="0"/>
        <v>57435.880638630428</v>
      </c>
      <c r="E37" s="69">
        <f t="shared" si="6"/>
        <v>75249.96050450622</v>
      </c>
      <c r="F37" s="69">
        <f t="shared" si="5"/>
        <v>132685.84114313664</v>
      </c>
      <c r="G37" s="69">
        <f t="shared" si="3"/>
        <v>5668338.1033585379</v>
      </c>
    </row>
    <row r="38" spans="1:9">
      <c r="A38" s="68"/>
      <c r="B38" s="68" t="s">
        <v>80</v>
      </c>
      <c r="C38" s="69">
        <f t="shared" si="4"/>
        <v>5668338.1033585379</v>
      </c>
      <c r="D38" s="69">
        <f t="shared" si="0"/>
        <v>56683.381033585378</v>
      </c>
      <c r="E38" s="69">
        <f t="shared" si="6"/>
        <v>76002.460109551263</v>
      </c>
      <c r="F38" s="69">
        <f t="shared" si="5"/>
        <v>132685.84114313664</v>
      </c>
      <c r="G38" s="69">
        <f t="shared" si="3"/>
        <v>5592335.6432489865</v>
      </c>
    </row>
    <row r="39" spans="1:9">
      <c r="A39" s="68"/>
      <c r="B39" s="68" t="s">
        <v>81</v>
      </c>
      <c r="C39" s="69">
        <f t="shared" si="4"/>
        <v>5592335.6432489865</v>
      </c>
      <c r="D39" s="69">
        <f t="shared" si="0"/>
        <v>55923.356432489869</v>
      </c>
      <c r="E39" s="69">
        <f t="shared" si="6"/>
        <v>76762.484710646764</v>
      </c>
      <c r="F39" s="69">
        <f t="shared" si="5"/>
        <v>132685.84114313664</v>
      </c>
      <c r="G39" s="69">
        <f t="shared" si="3"/>
        <v>5515573.1585383397</v>
      </c>
    </row>
    <row r="40" spans="1:9">
      <c r="A40" s="68"/>
      <c r="B40" s="68" t="s">
        <v>82</v>
      </c>
      <c r="C40" s="69">
        <f t="shared" si="4"/>
        <v>5515573.1585383397</v>
      </c>
      <c r="D40" s="69">
        <f t="shared" si="0"/>
        <v>55155.731585383393</v>
      </c>
      <c r="E40" s="69">
        <f t="shared" si="6"/>
        <v>77530.109557753254</v>
      </c>
      <c r="F40" s="69">
        <f t="shared" si="5"/>
        <v>132685.84114313664</v>
      </c>
      <c r="G40" s="69">
        <f t="shared" si="3"/>
        <v>5438043.0489805862</v>
      </c>
    </row>
    <row r="41" spans="1:9">
      <c r="A41" s="68"/>
      <c r="B41" s="68" t="s">
        <v>83</v>
      </c>
      <c r="C41" s="69">
        <f t="shared" si="4"/>
        <v>5438043.0489805862</v>
      </c>
      <c r="D41" s="69">
        <f t="shared" si="0"/>
        <v>54380.430489805854</v>
      </c>
      <c r="E41" s="69">
        <f t="shared" si="6"/>
        <v>78305.410653330793</v>
      </c>
      <c r="F41" s="69">
        <f t="shared" si="5"/>
        <v>132685.84114313664</v>
      </c>
      <c r="G41" s="69">
        <f t="shared" si="3"/>
        <v>5359737.6383272558</v>
      </c>
    </row>
    <row r="42" spans="1:9">
      <c r="A42" s="68"/>
      <c r="B42" s="68" t="s">
        <v>84</v>
      </c>
      <c r="C42" s="69">
        <f t="shared" si="4"/>
        <v>5359737.6383272558</v>
      </c>
      <c r="D42" s="69">
        <f t="shared" ref="D42:D73" si="7">C42*$D$5/12</f>
        <v>53597.376383272553</v>
      </c>
      <c r="E42" s="69">
        <f t="shared" si="6"/>
        <v>79088.464759864088</v>
      </c>
      <c r="F42" s="69">
        <f t="shared" si="5"/>
        <v>132685.84114313664</v>
      </c>
      <c r="G42" s="69">
        <f t="shared" si="3"/>
        <v>5280649.1735673919</v>
      </c>
    </row>
    <row r="43" spans="1:9">
      <c r="A43" s="68"/>
      <c r="B43" s="68" t="s">
        <v>85</v>
      </c>
      <c r="C43" s="69">
        <f t="shared" si="4"/>
        <v>5280649.1735673919</v>
      </c>
      <c r="D43" s="69">
        <f t="shared" si="7"/>
        <v>52806.491735673917</v>
      </c>
      <c r="E43" s="69">
        <f t="shared" si="6"/>
        <v>79879.349407462723</v>
      </c>
      <c r="F43" s="69">
        <f t="shared" si="5"/>
        <v>132685.84114313664</v>
      </c>
      <c r="G43" s="69">
        <f t="shared" si="3"/>
        <v>5200769.8241599295</v>
      </c>
    </row>
    <row r="44" spans="1:9">
      <c r="A44" s="68"/>
      <c r="B44" s="68" t="s">
        <v>86</v>
      </c>
      <c r="C44" s="69">
        <f t="shared" si="4"/>
        <v>5200769.8241599295</v>
      </c>
      <c r="D44" s="69">
        <f t="shared" si="7"/>
        <v>52007.69824159929</v>
      </c>
      <c r="E44" s="69">
        <f t="shared" si="6"/>
        <v>80678.142901537358</v>
      </c>
      <c r="F44" s="69">
        <f t="shared" si="5"/>
        <v>132685.84114313664</v>
      </c>
      <c r="G44" s="69">
        <f t="shared" si="3"/>
        <v>5120091.6812583925</v>
      </c>
    </row>
    <row r="45" spans="1:9">
      <c r="A45" s="68"/>
      <c r="B45" s="68" t="s">
        <v>87</v>
      </c>
      <c r="C45" s="69">
        <f t="shared" si="4"/>
        <v>5120091.6812583925</v>
      </c>
      <c r="D45" s="69">
        <f t="shared" si="7"/>
        <v>51200.916812583921</v>
      </c>
      <c r="E45" s="69">
        <f t="shared" si="6"/>
        <v>81484.92433055272</v>
      </c>
      <c r="F45" s="69">
        <f t="shared" si="5"/>
        <v>132685.84114313664</v>
      </c>
      <c r="G45" s="69">
        <f t="shared" si="3"/>
        <v>5038606.7569278395</v>
      </c>
      <c r="H45" s="1"/>
      <c r="I45" s="1"/>
    </row>
    <row r="46" spans="1:9">
      <c r="A46" s="68" t="s">
        <v>14</v>
      </c>
      <c r="B46" s="68" t="s">
        <v>88</v>
      </c>
      <c r="C46" s="69">
        <f t="shared" si="4"/>
        <v>5038606.7569278395</v>
      </c>
      <c r="D46" s="69">
        <f t="shared" si="7"/>
        <v>50386.067569278392</v>
      </c>
      <c r="E46" s="69">
        <f t="shared" si="6"/>
        <v>82299.773573858256</v>
      </c>
      <c r="F46" s="69">
        <f t="shared" si="5"/>
        <v>132685.84114313664</v>
      </c>
      <c r="G46" s="69">
        <f t="shared" si="3"/>
        <v>4956306.9833539808</v>
      </c>
    </row>
    <row r="47" spans="1:9">
      <c r="A47" s="68"/>
      <c r="B47" s="68" t="s">
        <v>89</v>
      </c>
      <c r="C47" s="69">
        <f t="shared" si="4"/>
        <v>4956306.9833539808</v>
      </c>
      <c r="D47" s="69">
        <f t="shared" si="7"/>
        <v>49563.069833539805</v>
      </c>
      <c r="E47" s="69">
        <f t="shared" si="6"/>
        <v>83122.771309596836</v>
      </c>
      <c r="F47" s="69">
        <f t="shared" si="5"/>
        <v>132685.84114313664</v>
      </c>
      <c r="G47" s="69">
        <f t="shared" si="3"/>
        <v>4873184.2120443843</v>
      </c>
    </row>
    <row r="48" spans="1:9">
      <c r="A48" s="68"/>
      <c r="B48" s="68" t="s">
        <v>90</v>
      </c>
      <c r="C48" s="69">
        <f t="shared" si="4"/>
        <v>4873184.2120443843</v>
      </c>
      <c r="D48" s="69">
        <f t="shared" si="7"/>
        <v>48731.842120443842</v>
      </c>
      <c r="E48" s="69">
        <f t="shared" si="6"/>
        <v>83953.999022692791</v>
      </c>
      <c r="F48" s="69">
        <f t="shared" si="5"/>
        <v>132685.84114313664</v>
      </c>
      <c r="G48" s="69">
        <f t="shared" si="3"/>
        <v>4789230.2130216919</v>
      </c>
    </row>
    <row r="49" spans="1:9">
      <c r="A49" s="68"/>
      <c r="B49" s="68" t="s">
        <v>91</v>
      </c>
      <c r="C49" s="69">
        <f t="shared" si="4"/>
        <v>4789230.2130216919</v>
      </c>
      <c r="D49" s="69">
        <f t="shared" si="7"/>
        <v>47892.302130216915</v>
      </c>
      <c r="E49" s="69">
        <f t="shared" si="6"/>
        <v>84793.539012919733</v>
      </c>
      <c r="F49" s="69">
        <f t="shared" si="5"/>
        <v>132685.84114313664</v>
      </c>
      <c r="G49" s="69">
        <f t="shared" si="3"/>
        <v>4704436.6740087718</v>
      </c>
    </row>
    <row r="50" spans="1:9">
      <c r="A50" s="68"/>
      <c r="B50" s="68" t="s">
        <v>92</v>
      </c>
      <c r="C50" s="69">
        <f t="shared" si="4"/>
        <v>4704436.6740087718</v>
      </c>
      <c r="D50" s="69">
        <f t="shared" si="7"/>
        <v>47044.366740087717</v>
      </c>
      <c r="E50" s="69">
        <f t="shared" si="6"/>
        <v>85641.474403048924</v>
      </c>
      <c r="F50" s="69">
        <f t="shared" si="5"/>
        <v>132685.84114313664</v>
      </c>
      <c r="G50" s="69">
        <f t="shared" si="3"/>
        <v>4618795.1996057229</v>
      </c>
    </row>
    <row r="51" spans="1:9">
      <c r="A51" s="68"/>
      <c r="B51" s="68" t="s">
        <v>93</v>
      </c>
      <c r="C51" s="69">
        <f t="shared" si="4"/>
        <v>4618795.1996057229</v>
      </c>
      <c r="D51" s="69">
        <f t="shared" si="7"/>
        <v>46187.951996057229</v>
      </c>
      <c r="E51" s="69">
        <f t="shared" si="6"/>
        <v>86497.889147079404</v>
      </c>
      <c r="F51" s="69">
        <f t="shared" si="5"/>
        <v>132685.84114313664</v>
      </c>
      <c r="G51" s="69">
        <f t="shared" si="3"/>
        <v>4532297.3104586434</v>
      </c>
    </row>
    <row r="52" spans="1:9">
      <c r="A52" s="68"/>
      <c r="B52" s="68" t="s">
        <v>94</v>
      </c>
      <c r="C52" s="69">
        <f t="shared" si="4"/>
        <v>4532297.3104586434</v>
      </c>
      <c r="D52" s="69">
        <f t="shared" si="7"/>
        <v>45322.973104586439</v>
      </c>
      <c r="E52" s="69">
        <f t="shared" si="6"/>
        <v>87362.868038550194</v>
      </c>
      <c r="F52" s="69">
        <f t="shared" si="5"/>
        <v>132685.84114313664</v>
      </c>
      <c r="G52" s="69">
        <f t="shared" si="3"/>
        <v>4444934.4424200933</v>
      </c>
    </row>
    <row r="53" spans="1:9">
      <c r="A53" s="68"/>
      <c r="B53" s="68" t="s">
        <v>95</v>
      </c>
      <c r="C53" s="69">
        <f t="shared" si="4"/>
        <v>4444934.4424200933</v>
      </c>
      <c r="D53" s="69">
        <f t="shared" si="7"/>
        <v>44449.344424200935</v>
      </c>
      <c r="E53" s="69">
        <f t="shared" si="6"/>
        <v>88236.496718935698</v>
      </c>
      <c r="F53" s="69">
        <f t="shared" si="5"/>
        <v>132685.84114313664</v>
      </c>
      <c r="G53" s="69">
        <f t="shared" si="3"/>
        <v>4356697.9457011577</v>
      </c>
    </row>
    <row r="54" spans="1:9">
      <c r="A54" s="68"/>
      <c r="B54" s="68" t="s">
        <v>96</v>
      </c>
      <c r="C54" s="69">
        <f t="shared" si="4"/>
        <v>4356697.9457011577</v>
      </c>
      <c r="D54" s="69">
        <f t="shared" si="7"/>
        <v>43566.979457011577</v>
      </c>
      <c r="E54" s="69">
        <f t="shared" si="6"/>
        <v>89118.861686125063</v>
      </c>
      <c r="F54" s="69">
        <f t="shared" si="5"/>
        <v>132685.84114313664</v>
      </c>
      <c r="G54" s="69">
        <f t="shared" si="3"/>
        <v>4267579.0840150323</v>
      </c>
    </row>
    <row r="55" spans="1:9">
      <c r="A55" s="68"/>
      <c r="B55" s="68" t="s">
        <v>97</v>
      </c>
      <c r="C55" s="69">
        <f t="shared" si="4"/>
        <v>4267579.0840150323</v>
      </c>
      <c r="D55" s="69">
        <f t="shared" si="7"/>
        <v>42675.790840150323</v>
      </c>
      <c r="E55" s="69">
        <f t="shared" si="6"/>
        <v>90010.050302986318</v>
      </c>
      <c r="F55" s="69">
        <f t="shared" si="5"/>
        <v>132685.84114313664</v>
      </c>
      <c r="G55" s="69">
        <f t="shared" si="3"/>
        <v>4177569.0337120458</v>
      </c>
    </row>
    <row r="56" spans="1:9">
      <c r="A56" s="68"/>
      <c r="B56" s="68" t="s">
        <v>98</v>
      </c>
      <c r="C56" s="69">
        <f t="shared" si="4"/>
        <v>4177569.0337120458</v>
      </c>
      <c r="D56" s="69">
        <f t="shared" si="7"/>
        <v>41775.690337120461</v>
      </c>
      <c r="E56" s="69">
        <f t="shared" si="6"/>
        <v>90910.150806016172</v>
      </c>
      <c r="F56" s="69">
        <f t="shared" si="5"/>
        <v>132685.84114313664</v>
      </c>
      <c r="G56" s="69">
        <f t="shared" si="3"/>
        <v>4086658.8829060295</v>
      </c>
    </row>
    <row r="57" spans="1:9">
      <c r="A57" s="68"/>
      <c r="B57" s="68" t="s">
        <v>99</v>
      </c>
      <c r="C57" s="69">
        <f t="shared" si="4"/>
        <v>4086658.8829060295</v>
      </c>
      <c r="D57" s="69">
        <f t="shared" si="7"/>
        <v>40866.588829060296</v>
      </c>
      <c r="E57" s="69">
        <f t="shared" si="6"/>
        <v>91819.252314076351</v>
      </c>
      <c r="F57" s="69">
        <f t="shared" si="5"/>
        <v>132685.84114313664</v>
      </c>
      <c r="G57" s="69">
        <f t="shared" si="3"/>
        <v>3994839.6305919532</v>
      </c>
      <c r="H57" s="1"/>
      <c r="I57" s="1"/>
    </row>
    <row r="58" spans="1:9">
      <c r="A58" s="68" t="s">
        <v>15</v>
      </c>
      <c r="B58" s="68" t="s">
        <v>100</v>
      </c>
      <c r="C58" s="69">
        <f t="shared" si="4"/>
        <v>3994839.6305919532</v>
      </c>
      <c r="D58" s="69">
        <f t="shared" si="7"/>
        <v>39948.39630591953</v>
      </c>
      <c r="E58" s="69">
        <f t="shared" si="6"/>
        <v>92737.444837217103</v>
      </c>
      <c r="F58" s="69">
        <f t="shared" si="5"/>
        <v>132685.84114313664</v>
      </c>
      <c r="G58" s="69">
        <f t="shared" si="3"/>
        <v>3902102.185754736</v>
      </c>
    </row>
    <row r="59" spans="1:9">
      <c r="A59" s="68"/>
      <c r="B59" s="68" t="s">
        <v>101</v>
      </c>
      <c r="C59" s="69">
        <f t="shared" si="4"/>
        <v>3902102.185754736</v>
      </c>
      <c r="D59" s="69">
        <f t="shared" si="7"/>
        <v>39021.021857547363</v>
      </c>
      <c r="E59" s="69">
        <f t="shared" si="6"/>
        <v>93664.81928558927</v>
      </c>
      <c r="F59" s="69">
        <f t="shared" si="5"/>
        <v>132685.84114313664</v>
      </c>
      <c r="G59" s="69">
        <f t="shared" si="3"/>
        <v>3808437.3664691467</v>
      </c>
    </row>
    <row r="60" spans="1:9">
      <c r="A60" s="68"/>
      <c r="B60" s="68" t="s">
        <v>102</v>
      </c>
      <c r="C60" s="69">
        <f t="shared" si="4"/>
        <v>3808437.3664691467</v>
      </c>
      <c r="D60" s="69">
        <f t="shared" si="7"/>
        <v>38084.373664691469</v>
      </c>
      <c r="E60" s="69">
        <f t="shared" si="6"/>
        <v>94601.467478445178</v>
      </c>
      <c r="F60" s="69">
        <f t="shared" si="5"/>
        <v>132685.84114313664</v>
      </c>
      <c r="G60" s="69">
        <f t="shared" si="3"/>
        <v>3713835.8989907014</v>
      </c>
    </row>
    <row r="61" spans="1:9">
      <c r="A61" s="68"/>
      <c r="B61" s="68" t="s">
        <v>103</v>
      </c>
      <c r="C61" s="69">
        <f t="shared" si="4"/>
        <v>3713835.8989907014</v>
      </c>
      <c r="D61" s="69">
        <f t="shared" si="7"/>
        <v>37138.358989907014</v>
      </c>
      <c r="E61" s="69">
        <f t="shared" si="6"/>
        <v>95547.482153229619</v>
      </c>
      <c r="F61" s="69">
        <f t="shared" si="5"/>
        <v>132685.84114313664</v>
      </c>
      <c r="G61" s="69">
        <f t="shared" si="3"/>
        <v>3618288.416837472</v>
      </c>
    </row>
    <row r="62" spans="1:9">
      <c r="A62" s="68"/>
      <c r="B62" s="68" t="s">
        <v>104</v>
      </c>
      <c r="C62" s="69">
        <f t="shared" si="4"/>
        <v>3618288.416837472</v>
      </c>
      <c r="D62" s="69">
        <f t="shared" si="7"/>
        <v>36182.884168374723</v>
      </c>
      <c r="E62" s="69">
        <f t="shared" si="6"/>
        <v>96502.95697476191</v>
      </c>
      <c r="F62" s="69">
        <f t="shared" si="5"/>
        <v>132685.84114313664</v>
      </c>
      <c r="G62" s="69">
        <f t="shared" si="3"/>
        <v>3521785.45986271</v>
      </c>
    </row>
    <row r="63" spans="1:9">
      <c r="A63" s="68"/>
      <c r="B63" s="68" t="s">
        <v>105</v>
      </c>
      <c r="C63" s="69">
        <f t="shared" si="4"/>
        <v>3521785.45986271</v>
      </c>
      <c r="D63" s="69">
        <f t="shared" si="7"/>
        <v>35217.854598627098</v>
      </c>
      <c r="E63" s="69">
        <f t="shared" si="6"/>
        <v>97467.986544509535</v>
      </c>
      <c r="F63" s="69">
        <f t="shared" si="5"/>
        <v>132685.84114313664</v>
      </c>
      <c r="G63" s="69">
        <f t="shared" si="3"/>
        <v>3424317.4733182006</v>
      </c>
    </row>
    <row r="64" spans="1:9">
      <c r="A64" s="68"/>
      <c r="B64" s="68" t="s">
        <v>106</v>
      </c>
      <c r="C64" s="69">
        <f t="shared" si="4"/>
        <v>3424317.4733182006</v>
      </c>
      <c r="D64" s="69">
        <f t="shared" si="7"/>
        <v>34243.174733182001</v>
      </c>
      <c r="E64" s="69">
        <f t="shared" si="6"/>
        <v>98442.666409954632</v>
      </c>
      <c r="F64" s="69">
        <f t="shared" si="5"/>
        <v>132685.84114313664</v>
      </c>
      <c r="G64" s="69">
        <f t="shared" si="3"/>
        <v>3325874.8069082461</v>
      </c>
    </row>
    <row r="65" spans="1:9">
      <c r="A65" s="68"/>
      <c r="B65" s="68" t="s">
        <v>107</v>
      </c>
      <c r="C65" s="69">
        <f t="shared" si="4"/>
        <v>3325874.8069082461</v>
      </c>
      <c r="D65" s="69">
        <f t="shared" si="7"/>
        <v>33258.74806908246</v>
      </c>
      <c r="E65" s="69">
        <f t="shared" si="6"/>
        <v>99427.093074054181</v>
      </c>
      <c r="F65" s="69">
        <f t="shared" si="5"/>
        <v>132685.84114313664</v>
      </c>
      <c r="G65" s="69">
        <f t="shared" si="3"/>
        <v>3226447.7138341921</v>
      </c>
    </row>
    <row r="66" spans="1:9">
      <c r="A66" s="68"/>
      <c r="B66" s="68" t="s">
        <v>108</v>
      </c>
      <c r="C66" s="69">
        <f t="shared" si="4"/>
        <v>3226447.7138341921</v>
      </c>
      <c r="D66" s="69">
        <f t="shared" si="7"/>
        <v>32264.477138341917</v>
      </c>
      <c r="E66" s="69">
        <f t="shared" si="6"/>
        <v>100421.36400479473</v>
      </c>
      <c r="F66" s="69">
        <f t="shared" si="5"/>
        <v>132685.84114313664</v>
      </c>
      <c r="G66" s="69">
        <f t="shared" si="3"/>
        <v>3126026.3498293976</v>
      </c>
    </row>
    <row r="67" spans="1:9">
      <c r="A67" s="68"/>
      <c r="B67" s="68" t="s">
        <v>109</v>
      </c>
      <c r="C67" s="69">
        <f t="shared" si="4"/>
        <v>3126026.3498293976</v>
      </c>
      <c r="D67" s="69">
        <f t="shared" si="7"/>
        <v>31260.263498293974</v>
      </c>
      <c r="E67" s="69">
        <f t="shared" si="6"/>
        <v>101425.57764484266</v>
      </c>
      <c r="F67" s="69">
        <f t="shared" si="5"/>
        <v>132685.84114313664</v>
      </c>
      <c r="G67" s="69">
        <f t="shared" si="3"/>
        <v>3024600.772184555</v>
      </c>
    </row>
    <row r="68" spans="1:9">
      <c r="A68" s="68"/>
      <c r="B68" s="68" t="s">
        <v>110</v>
      </c>
      <c r="C68" s="69">
        <f t="shared" si="4"/>
        <v>3024600.772184555</v>
      </c>
      <c r="D68" s="69">
        <f t="shared" si="7"/>
        <v>30246.007721845552</v>
      </c>
      <c r="E68" s="69">
        <f t="shared" si="6"/>
        <v>102439.83342129108</v>
      </c>
      <c r="F68" s="69">
        <f t="shared" si="5"/>
        <v>132685.84114313664</v>
      </c>
      <c r="G68" s="69">
        <f t="shared" si="3"/>
        <v>2922160.9387632636</v>
      </c>
    </row>
    <row r="69" spans="1:9">
      <c r="A69" s="68"/>
      <c r="B69" s="68" t="s">
        <v>111</v>
      </c>
      <c r="C69" s="69">
        <f t="shared" si="4"/>
        <v>2922160.9387632636</v>
      </c>
      <c r="D69" s="69">
        <f t="shared" si="7"/>
        <v>29221.609387632634</v>
      </c>
      <c r="E69" s="69">
        <f t="shared" si="6"/>
        <v>103464.23175550401</v>
      </c>
      <c r="F69" s="69">
        <f t="shared" si="5"/>
        <v>132685.84114313664</v>
      </c>
      <c r="G69" s="69">
        <f t="shared" si="3"/>
        <v>2818696.7070077597</v>
      </c>
      <c r="H69" s="1"/>
      <c r="I69" s="1"/>
    </row>
    <row r="70" spans="1:9">
      <c r="A70" s="68" t="s">
        <v>16</v>
      </c>
      <c r="B70" s="68" t="s">
        <v>112</v>
      </c>
      <c r="C70" s="69">
        <f t="shared" si="4"/>
        <v>2818696.7070077597</v>
      </c>
      <c r="D70" s="69">
        <f t="shared" si="7"/>
        <v>28186.967070077593</v>
      </c>
      <c r="E70" s="69">
        <f t="shared" si="6"/>
        <v>104498.87407305905</v>
      </c>
      <c r="F70" s="69">
        <f t="shared" si="5"/>
        <v>132685.84114313664</v>
      </c>
      <c r="G70" s="69">
        <f t="shared" si="3"/>
        <v>2714197.8329347009</v>
      </c>
    </row>
    <row r="71" spans="1:9">
      <c r="A71" s="68"/>
      <c r="B71" s="68" t="s">
        <v>113</v>
      </c>
      <c r="C71" s="69">
        <f t="shared" si="4"/>
        <v>2714197.8329347009</v>
      </c>
      <c r="D71" s="69">
        <f t="shared" si="7"/>
        <v>27141.97832934701</v>
      </c>
      <c r="E71" s="69">
        <f t="shared" si="6"/>
        <v>105543.86281378963</v>
      </c>
      <c r="F71" s="69">
        <f t="shared" si="5"/>
        <v>132685.84114313664</v>
      </c>
      <c r="G71" s="69">
        <f t="shared" si="3"/>
        <v>2608653.9701209115</v>
      </c>
    </row>
    <row r="72" spans="1:9">
      <c r="A72" s="68"/>
      <c r="B72" s="68" t="s">
        <v>114</v>
      </c>
      <c r="C72" s="69">
        <f t="shared" si="4"/>
        <v>2608653.9701209115</v>
      </c>
      <c r="D72" s="69">
        <f t="shared" si="7"/>
        <v>26086.539701209113</v>
      </c>
      <c r="E72" s="69">
        <f t="shared" si="6"/>
        <v>106599.30144192753</v>
      </c>
      <c r="F72" s="69">
        <f t="shared" si="5"/>
        <v>132685.84114313664</v>
      </c>
      <c r="G72" s="69">
        <f t="shared" si="3"/>
        <v>2502054.668678984</v>
      </c>
    </row>
    <row r="73" spans="1:9">
      <c r="A73" s="68"/>
      <c r="B73" s="68" t="s">
        <v>115</v>
      </c>
      <c r="C73" s="69">
        <f t="shared" si="4"/>
        <v>2502054.668678984</v>
      </c>
      <c r="D73" s="69">
        <f t="shared" si="7"/>
        <v>25020.546686789839</v>
      </c>
      <c r="E73" s="69">
        <f t="shared" si="6"/>
        <v>107665.2944563468</v>
      </c>
      <c r="F73" s="69">
        <f t="shared" si="5"/>
        <v>132685.84114313664</v>
      </c>
      <c r="G73" s="69">
        <f t="shared" si="3"/>
        <v>2394389.3742226372</v>
      </c>
    </row>
    <row r="74" spans="1:9">
      <c r="A74" s="68"/>
      <c r="B74" s="68" t="s">
        <v>116</v>
      </c>
      <c r="C74" s="69">
        <f t="shared" si="4"/>
        <v>2394389.3742226372</v>
      </c>
      <c r="D74" s="69">
        <f t="shared" ref="D74:D81" si="8">C74*$D$5/12</f>
        <v>23943.89374222637</v>
      </c>
      <c r="E74" s="69">
        <f t="shared" si="6"/>
        <v>108741.94740091027</v>
      </c>
      <c r="F74" s="69">
        <f t="shared" si="5"/>
        <v>132685.84114313664</v>
      </c>
      <c r="G74" s="69">
        <f t="shared" si="3"/>
        <v>2285647.4268217268</v>
      </c>
    </row>
    <row r="75" spans="1:9">
      <c r="A75" s="68"/>
      <c r="B75" s="68" t="s">
        <v>117</v>
      </c>
      <c r="C75" s="69">
        <f t="shared" si="4"/>
        <v>2285647.4268217268</v>
      </c>
      <c r="D75" s="69">
        <f t="shared" si="8"/>
        <v>22856.474268217265</v>
      </c>
      <c r="E75" s="69">
        <f t="shared" si="6"/>
        <v>109829.36687491937</v>
      </c>
      <c r="F75" s="69">
        <f t="shared" ref="F75:F93" si="9">$D$8</f>
        <v>132685.84114313664</v>
      </c>
      <c r="G75" s="69">
        <f t="shared" ref="G75:G81" si="10">C75-E75</f>
        <v>2175818.0599468076</v>
      </c>
    </row>
    <row r="76" spans="1:9">
      <c r="A76" s="68"/>
      <c r="B76" s="68" t="s">
        <v>118</v>
      </c>
      <c r="C76" s="69">
        <f t="shared" ref="C76:C81" si="11">G75</f>
        <v>2175818.0599468076</v>
      </c>
      <c r="D76" s="69">
        <f t="shared" si="8"/>
        <v>21758.180599468073</v>
      </c>
      <c r="E76" s="69">
        <f t="shared" si="6"/>
        <v>110927.66054366856</v>
      </c>
      <c r="F76" s="69">
        <f t="shared" si="9"/>
        <v>132685.84114313664</v>
      </c>
      <c r="G76" s="69">
        <f t="shared" si="10"/>
        <v>2064890.399403139</v>
      </c>
    </row>
    <row r="77" spans="1:9">
      <c r="A77" s="68"/>
      <c r="B77" s="68" t="s">
        <v>119</v>
      </c>
      <c r="C77" s="69">
        <f t="shared" si="11"/>
        <v>2064890.399403139</v>
      </c>
      <c r="D77" s="69">
        <f t="shared" si="8"/>
        <v>20648.903994031389</v>
      </c>
      <c r="E77" s="69">
        <f t="shared" si="6"/>
        <v>112036.93714910524</v>
      </c>
      <c r="F77" s="69">
        <f t="shared" si="9"/>
        <v>132685.84114313664</v>
      </c>
      <c r="G77" s="69">
        <f t="shared" si="10"/>
        <v>1952853.4622540339</v>
      </c>
    </row>
    <row r="78" spans="1:9">
      <c r="A78" s="68"/>
      <c r="B78" s="68" t="s">
        <v>120</v>
      </c>
      <c r="C78" s="69">
        <f t="shared" si="11"/>
        <v>1952853.4622540339</v>
      </c>
      <c r="D78" s="69">
        <f t="shared" si="8"/>
        <v>19528.534622540337</v>
      </c>
      <c r="E78" s="69">
        <f t="shared" si="6"/>
        <v>113157.30652059631</v>
      </c>
      <c r="F78" s="69">
        <f t="shared" si="9"/>
        <v>132685.84114313664</v>
      </c>
      <c r="G78" s="69">
        <f t="shared" si="10"/>
        <v>1839696.1557334375</v>
      </c>
    </row>
    <row r="79" spans="1:9">
      <c r="A79" s="68"/>
      <c r="B79" s="68" t="s">
        <v>121</v>
      </c>
      <c r="C79" s="69">
        <f t="shared" si="11"/>
        <v>1839696.1557334375</v>
      </c>
      <c r="D79" s="69">
        <f t="shared" si="8"/>
        <v>18396.961557334373</v>
      </c>
      <c r="E79" s="69">
        <f t="shared" si="6"/>
        <v>114288.87958580226</v>
      </c>
      <c r="F79" s="69">
        <f t="shared" si="9"/>
        <v>132685.84114313664</v>
      </c>
      <c r="G79" s="69">
        <f t="shared" si="10"/>
        <v>1725407.2761476352</v>
      </c>
    </row>
    <row r="80" spans="1:9">
      <c r="A80" s="68"/>
      <c r="B80" s="68" t="s">
        <v>122</v>
      </c>
      <c r="C80" s="69">
        <f t="shared" si="11"/>
        <v>1725407.2761476352</v>
      </c>
      <c r="D80" s="69">
        <f t="shared" si="8"/>
        <v>17254.072761476349</v>
      </c>
      <c r="E80" s="69">
        <f t="shared" si="6"/>
        <v>115431.76838166029</v>
      </c>
      <c r="F80" s="69">
        <f t="shared" si="9"/>
        <v>132685.84114313664</v>
      </c>
      <c r="G80" s="69">
        <f t="shared" si="10"/>
        <v>1609975.5077659748</v>
      </c>
    </row>
    <row r="81" spans="1:9">
      <c r="A81" s="68"/>
      <c r="B81" s="68" t="s">
        <v>123</v>
      </c>
      <c r="C81" s="69">
        <f t="shared" si="11"/>
        <v>1609975.5077659748</v>
      </c>
      <c r="D81" s="69">
        <f t="shared" si="8"/>
        <v>16099.755077659749</v>
      </c>
      <c r="E81" s="69">
        <f t="shared" ref="E81" si="12">F81-D81</f>
        <v>116586.08606547689</v>
      </c>
      <c r="F81" s="69">
        <f t="shared" si="9"/>
        <v>132685.84114313664</v>
      </c>
      <c r="G81" s="69">
        <f t="shared" si="10"/>
        <v>1493389.4217004979</v>
      </c>
      <c r="H81" s="1"/>
      <c r="I81" s="1"/>
    </row>
    <row r="82" spans="1:9">
      <c r="A82" s="68" t="s">
        <v>280</v>
      </c>
      <c r="B82" s="68" t="s">
        <v>216</v>
      </c>
      <c r="C82" s="69">
        <f t="shared" ref="C82:C93" si="13">G81</f>
        <v>1493389.4217004979</v>
      </c>
      <c r="D82" s="69">
        <f t="shared" ref="D82:D93" si="14">C82*$D$5/12</f>
        <v>14933.894217004978</v>
      </c>
      <c r="E82" s="69">
        <f t="shared" ref="E82:E93" si="15">F82-D82</f>
        <v>117751.94692613167</v>
      </c>
      <c r="F82" s="69">
        <f t="shared" si="9"/>
        <v>132685.84114313664</v>
      </c>
      <c r="G82" s="69">
        <f t="shared" ref="G82:G93" si="16">C82-E82</f>
        <v>1375637.4747743662</v>
      </c>
    </row>
    <row r="83" spans="1:9">
      <c r="A83" s="68"/>
      <c r="B83" s="68" t="s">
        <v>217</v>
      </c>
      <c r="C83" s="69">
        <f t="shared" si="13"/>
        <v>1375637.4747743662</v>
      </c>
      <c r="D83" s="69">
        <f t="shared" si="14"/>
        <v>13756.374747743663</v>
      </c>
      <c r="E83" s="69">
        <f t="shared" si="15"/>
        <v>118929.46639539298</v>
      </c>
      <c r="F83" s="69">
        <f t="shared" si="9"/>
        <v>132685.84114313664</v>
      </c>
      <c r="G83" s="69">
        <f t="shared" si="16"/>
        <v>1256708.0083789732</v>
      </c>
    </row>
    <row r="84" spans="1:9">
      <c r="A84" s="68"/>
      <c r="B84" s="68" t="s">
        <v>218</v>
      </c>
      <c r="C84" s="69">
        <f t="shared" si="13"/>
        <v>1256708.0083789732</v>
      </c>
      <c r="D84" s="69">
        <f t="shared" si="14"/>
        <v>12567.080083789731</v>
      </c>
      <c r="E84" s="69">
        <f t="shared" si="15"/>
        <v>120118.76105934691</v>
      </c>
      <c r="F84" s="69">
        <f t="shared" si="9"/>
        <v>132685.84114313664</v>
      </c>
      <c r="G84" s="69">
        <f t="shared" si="16"/>
        <v>1136589.2473196264</v>
      </c>
    </row>
    <row r="85" spans="1:9">
      <c r="A85" s="68"/>
      <c r="B85" s="68" t="s">
        <v>219</v>
      </c>
      <c r="C85" s="69">
        <f t="shared" si="13"/>
        <v>1136589.2473196264</v>
      </c>
      <c r="D85" s="69">
        <f t="shared" si="14"/>
        <v>11365.892473196263</v>
      </c>
      <c r="E85" s="69">
        <f t="shared" si="15"/>
        <v>121319.94866994038</v>
      </c>
      <c r="F85" s="69">
        <f t="shared" si="9"/>
        <v>132685.84114313664</v>
      </c>
      <c r="G85" s="69">
        <f t="shared" si="16"/>
        <v>1015269.298649686</v>
      </c>
    </row>
    <row r="86" spans="1:9">
      <c r="A86" s="68"/>
      <c r="B86" s="68" t="s">
        <v>220</v>
      </c>
      <c r="C86" s="69">
        <f t="shared" si="13"/>
        <v>1015269.298649686</v>
      </c>
      <c r="D86" s="69">
        <f t="shared" si="14"/>
        <v>10152.692986496861</v>
      </c>
      <c r="E86" s="69">
        <f t="shared" si="15"/>
        <v>122533.14815663979</v>
      </c>
      <c r="F86" s="69">
        <f t="shared" si="9"/>
        <v>132685.84114313664</v>
      </c>
      <c r="G86" s="69">
        <f t="shared" si="16"/>
        <v>892736.15049304627</v>
      </c>
    </row>
    <row r="87" spans="1:9">
      <c r="A87" s="68"/>
      <c r="B87" s="68" t="s">
        <v>221</v>
      </c>
      <c r="C87" s="69">
        <f t="shared" si="13"/>
        <v>892736.15049304627</v>
      </c>
      <c r="D87" s="69">
        <f t="shared" si="14"/>
        <v>8927.3615049304626</v>
      </c>
      <c r="E87" s="69">
        <f t="shared" si="15"/>
        <v>123758.47963820618</v>
      </c>
      <c r="F87" s="69">
        <f t="shared" si="9"/>
        <v>132685.84114313664</v>
      </c>
      <c r="G87" s="69">
        <f t="shared" si="16"/>
        <v>768977.67085484008</v>
      </c>
    </row>
    <row r="88" spans="1:9">
      <c r="A88" s="68"/>
      <c r="B88" s="68" t="s">
        <v>222</v>
      </c>
      <c r="C88" s="69">
        <f t="shared" si="13"/>
        <v>768977.67085484008</v>
      </c>
      <c r="D88" s="69">
        <f t="shared" si="14"/>
        <v>7689.7767085484011</v>
      </c>
      <c r="E88" s="69">
        <f t="shared" si="15"/>
        <v>124996.06443458825</v>
      </c>
      <c r="F88" s="69">
        <f t="shared" si="9"/>
        <v>132685.84114313664</v>
      </c>
      <c r="G88" s="69">
        <f t="shared" si="16"/>
        <v>643981.60642025177</v>
      </c>
    </row>
    <row r="89" spans="1:9">
      <c r="A89" s="68"/>
      <c r="B89" s="68" t="s">
        <v>223</v>
      </c>
      <c r="C89" s="69">
        <f t="shared" si="13"/>
        <v>643981.60642025177</v>
      </c>
      <c r="D89" s="69">
        <f t="shared" si="14"/>
        <v>6439.8160642025177</v>
      </c>
      <c r="E89" s="69">
        <f t="shared" si="15"/>
        <v>126246.02507893412</v>
      </c>
      <c r="F89" s="69">
        <f t="shared" si="9"/>
        <v>132685.84114313664</v>
      </c>
      <c r="G89" s="69">
        <f t="shared" si="16"/>
        <v>517735.58134131762</v>
      </c>
    </row>
    <row r="90" spans="1:9">
      <c r="A90" s="68"/>
      <c r="B90" s="68" t="s">
        <v>224</v>
      </c>
      <c r="C90" s="69">
        <f t="shared" si="13"/>
        <v>517735.58134131762</v>
      </c>
      <c r="D90" s="69">
        <f t="shared" si="14"/>
        <v>5177.3558134131763</v>
      </c>
      <c r="E90" s="69">
        <f t="shared" si="15"/>
        <v>127508.48532972347</v>
      </c>
      <c r="F90" s="69">
        <f t="shared" si="9"/>
        <v>132685.84114313664</v>
      </c>
      <c r="G90" s="69">
        <f t="shared" si="16"/>
        <v>390227.09601159417</v>
      </c>
    </row>
    <row r="91" spans="1:9">
      <c r="A91" s="68"/>
      <c r="B91" s="68" t="s">
        <v>225</v>
      </c>
      <c r="C91" s="69">
        <f t="shared" si="13"/>
        <v>390227.09601159417</v>
      </c>
      <c r="D91" s="69">
        <f t="shared" si="14"/>
        <v>3902.2709601159418</v>
      </c>
      <c r="E91" s="69">
        <f t="shared" si="15"/>
        <v>128783.5701830207</v>
      </c>
      <c r="F91" s="69">
        <f t="shared" si="9"/>
        <v>132685.84114313664</v>
      </c>
      <c r="G91" s="69">
        <f t="shared" si="16"/>
        <v>261443.52582857347</v>
      </c>
    </row>
    <row r="92" spans="1:9">
      <c r="A92" s="68"/>
      <c r="B92" s="68" t="s">
        <v>226</v>
      </c>
      <c r="C92" s="69">
        <f t="shared" si="13"/>
        <v>261443.52582857347</v>
      </c>
      <c r="D92" s="69">
        <f t="shared" si="14"/>
        <v>2614.4352582857346</v>
      </c>
      <c r="E92" s="69">
        <f t="shared" si="15"/>
        <v>130071.4058848509</v>
      </c>
      <c r="F92" s="69">
        <f t="shared" si="9"/>
        <v>132685.84114313664</v>
      </c>
      <c r="G92" s="69">
        <f t="shared" si="16"/>
        <v>131372.11994372256</v>
      </c>
    </row>
    <row r="93" spans="1:9">
      <c r="A93" s="68"/>
      <c r="B93" s="68" t="s">
        <v>227</v>
      </c>
      <c r="C93" s="69">
        <f t="shared" si="13"/>
        <v>131372.11994372256</v>
      </c>
      <c r="D93" s="69">
        <f t="shared" si="14"/>
        <v>1313.7211994372256</v>
      </c>
      <c r="E93" s="69">
        <f t="shared" si="15"/>
        <v>131372.11994369942</v>
      </c>
      <c r="F93" s="69">
        <f t="shared" si="9"/>
        <v>132685.84114313664</v>
      </c>
      <c r="G93" s="69">
        <f t="shared" si="16"/>
        <v>2.3137545213103294E-8</v>
      </c>
    </row>
    <row r="94" spans="1:9">
      <c r="A94" s="67"/>
      <c r="B94" s="67"/>
      <c r="C94" s="67"/>
      <c r="D94" s="74">
        <f>SUM(D10:D93)</f>
        <v>3616674.8271646718</v>
      </c>
      <c r="E94" s="74">
        <f>SUM(E10:E93)</f>
        <v>7162575.299999984</v>
      </c>
      <c r="F94" s="67"/>
      <c r="G94" s="67"/>
    </row>
    <row r="95" spans="1:9" ht="40.15" customHeight="1">
      <c r="A95" s="397" t="s">
        <v>410</v>
      </c>
      <c r="B95" s="397"/>
      <c r="C95" s="397"/>
      <c r="D95" s="397"/>
      <c r="E95" s="397"/>
      <c r="F95" s="397"/>
      <c r="G95" s="397"/>
      <c r="H95" s="397"/>
    </row>
    <row r="96" spans="1:9">
      <c r="A96" t="s">
        <v>508</v>
      </c>
    </row>
    <row r="97" spans="1:2">
      <c r="A97">
        <v>1</v>
      </c>
      <c r="B97" t="s">
        <v>509</v>
      </c>
    </row>
    <row r="98" spans="1:2">
      <c r="A98">
        <v>2</v>
      </c>
      <c r="B98" t="s">
        <v>510</v>
      </c>
    </row>
  </sheetData>
  <mergeCells count="2">
    <mergeCell ref="A2:G2"/>
    <mergeCell ref="A95:H95"/>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dimension ref="A2:V63"/>
  <sheetViews>
    <sheetView view="pageBreakPreview" topLeftCell="B36" zoomScale="80" zoomScaleSheetLayoutView="80" workbookViewId="0">
      <selection activeCell="I13" sqref="I13"/>
    </sheetView>
  </sheetViews>
  <sheetFormatPr defaultRowHeight="15"/>
  <cols>
    <col min="2" max="2" width="7.5703125" bestFit="1" customWidth="1"/>
    <col min="3" max="3" width="30.5703125" customWidth="1"/>
    <col min="4" max="4" width="16.7109375" bestFit="1" customWidth="1"/>
    <col min="5" max="5" width="12.5703125" bestFit="1" customWidth="1"/>
    <col min="6" max="6" width="16" bestFit="1" customWidth="1"/>
    <col min="7" max="7" width="20.42578125" bestFit="1" customWidth="1"/>
    <col min="8" max="8" width="23.28515625" bestFit="1" customWidth="1"/>
    <col min="9" max="9" width="26.7109375" bestFit="1" customWidth="1"/>
    <col min="10" max="10" width="29.42578125" bestFit="1" customWidth="1"/>
    <col min="11" max="11" width="32.28515625" bestFit="1" customWidth="1"/>
    <col min="14" max="14" width="24" hidden="1" customWidth="1"/>
    <col min="15" max="15" width="11.7109375" hidden="1" customWidth="1"/>
    <col min="16" max="16" width="9.5703125" hidden="1" customWidth="1"/>
    <col min="17" max="17" width="10.71093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81" t="s">
        <v>532</v>
      </c>
      <c r="D2" s="381"/>
      <c r="E2" s="381"/>
      <c r="F2" s="381"/>
      <c r="G2" s="381"/>
      <c r="H2" s="381"/>
      <c r="I2" s="381"/>
      <c r="J2" s="381"/>
      <c r="K2" s="381"/>
      <c r="L2" s="162"/>
    </row>
    <row r="4" spans="3:22">
      <c r="C4" s="315" t="s">
        <v>0</v>
      </c>
      <c r="D4" s="315"/>
      <c r="E4" s="316" t="s">
        <v>2</v>
      </c>
      <c r="F4" s="316" t="s">
        <v>3</v>
      </c>
      <c r="G4" s="316" t="s">
        <v>4</v>
      </c>
      <c r="H4" s="316" t="s">
        <v>5</v>
      </c>
      <c r="I4" s="316" t="s">
        <v>6</v>
      </c>
      <c r="J4" s="316" t="s">
        <v>169</v>
      </c>
      <c r="K4" s="316" t="s">
        <v>168</v>
      </c>
      <c r="L4" s="67"/>
      <c r="M4" s="67"/>
      <c r="N4" s="178"/>
      <c r="O4" s="178"/>
      <c r="P4" s="178"/>
      <c r="Q4" s="178"/>
      <c r="R4" s="178"/>
      <c r="S4" s="178"/>
      <c r="T4" s="178"/>
      <c r="U4" s="178"/>
      <c r="V4" s="178"/>
    </row>
    <row r="5" spans="3:22">
      <c r="C5" s="68" t="s">
        <v>363</v>
      </c>
      <c r="D5" s="68"/>
      <c r="E5" s="68"/>
      <c r="F5" s="68"/>
      <c r="G5" s="68"/>
      <c r="H5" s="68"/>
      <c r="I5" s="68"/>
      <c r="J5" s="68"/>
      <c r="K5" s="68"/>
      <c r="L5" s="67"/>
      <c r="M5" s="67"/>
      <c r="N5" s="408" t="s">
        <v>504</v>
      </c>
      <c r="O5" s="408"/>
      <c r="P5" s="408"/>
      <c r="Q5" s="408"/>
      <c r="R5" s="408"/>
      <c r="S5" s="178"/>
      <c r="T5" s="178"/>
      <c r="U5" s="408" t="s">
        <v>505</v>
      </c>
      <c r="V5" s="408"/>
    </row>
    <row r="6" spans="3:22" hidden="1">
      <c r="C6" s="68" t="s">
        <v>364</v>
      </c>
      <c r="D6" s="147"/>
      <c r="E6" s="68"/>
      <c r="F6" s="69">
        <f t="shared" ref="F6:K9" si="0">E15</f>
        <v>0</v>
      </c>
      <c r="G6" s="69">
        <f t="shared" si="0"/>
        <v>0</v>
      </c>
      <c r="H6" s="69">
        <f t="shared" si="0"/>
        <v>0</v>
      </c>
      <c r="I6" s="69">
        <f t="shared" si="0"/>
        <v>0</v>
      </c>
      <c r="J6" s="69">
        <f t="shared" si="0"/>
        <v>0</v>
      </c>
      <c r="K6" s="69">
        <f t="shared" si="0"/>
        <v>0</v>
      </c>
      <c r="L6" s="67"/>
      <c r="M6" s="67"/>
      <c r="N6" s="407" t="s">
        <v>506</v>
      </c>
      <c r="O6" s="407"/>
      <c r="P6" s="407"/>
      <c r="Q6" s="407"/>
      <c r="R6" s="407"/>
      <c r="S6" s="178"/>
      <c r="T6" s="178"/>
      <c r="U6" s="407" t="s">
        <v>506</v>
      </c>
      <c r="V6" s="407"/>
    </row>
    <row r="7" spans="3:22">
      <c r="C7" s="68" t="s">
        <v>736</v>
      </c>
      <c r="D7" s="147"/>
      <c r="E7" s="68"/>
      <c r="F7" s="69">
        <f t="shared" si="0"/>
        <v>1217146.392</v>
      </c>
      <c r="G7" s="69">
        <f t="shared" si="0"/>
        <v>1405804.0827600001</v>
      </c>
      <c r="H7" s="69">
        <f t="shared" si="0"/>
        <v>1610284.6766160002</v>
      </c>
      <c r="I7" s="69">
        <f t="shared" si="0"/>
        <v>1831698.8196507003</v>
      </c>
      <c r="J7" s="69">
        <f t="shared" si="0"/>
        <v>2071228.6652973308</v>
      </c>
      <c r="K7" s="69">
        <f t="shared" si="0"/>
        <v>2330132.248459497</v>
      </c>
      <c r="L7" s="67"/>
      <c r="M7" s="67"/>
      <c r="N7" s="179" t="s">
        <v>0</v>
      </c>
      <c r="O7" s="179" t="s">
        <v>164</v>
      </c>
      <c r="P7" s="179" t="s">
        <v>165</v>
      </c>
      <c r="Q7" s="179" t="s">
        <v>315</v>
      </c>
      <c r="R7" s="179" t="s">
        <v>316</v>
      </c>
      <c r="S7" s="178"/>
      <c r="T7" s="178"/>
      <c r="U7" s="237" t="s">
        <v>0</v>
      </c>
      <c r="V7" s="237" t="s">
        <v>475</v>
      </c>
    </row>
    <row r="8" spans="3:22">
      <c r="C8" s="68" t="s">
        <v>737</v>
      </c>
      <c r="D8" s="147"/>
      <c r="E8" s="68"/>
      <c r="F8" s="69">
        <f t="shared" si="0"/>
        <v>945701.38656000001</v>
      </c>
      <c r="G8" s="69">
        <f t="shared" si="0"/>
        <v>1191583.7470656</v>
      </c>
      <c r="H8" s="69">
        <f t="shared" si="0"/>
        <v>1459690.0901553596</v>
      </c>
      <c r="I8" s="69">
        <f t="shared" si="0"/>
        <v>1751628.1081864322</v>
      </c>
      <c r="J8" s="69">
        <f t="shared" si="0"/>
        <v>2069110.7027952226</v>
      </c>
      <c r="K8" s="69">
        <f t="shared" si="0"/>
        <v>2413962.4865944274</v>
      </c>
      <c r="L8" s="67"/>
      <c r="M8" s="67"/>
      <c r="N8" s="180" t="s">
        <v>365</v>
      </c>
      <c r="O8" s="180">
        <f>'13.Facility 2 Grain Processing'!C155</f>
        <v>15000</v>
      </c>
      <c r="P8" s="180">
        <f>'13.Facility 2 Grain Processing'!C156</f>
        <v>12000</v>
      </c>
      <c r="Q8" s="180" t="e">
        <f>'13.Facility 2 Grain Processing'!#REF!</f>
        <v>#REF!</v>
      </c>
      <c r="R8" s="180" t="e">
        <f>'13.Facility 2 Grain Processing'!#REF!</f>
        <v>#REF!</v>
      </c>
      <c r="S8" s="178"/>
      <c r="T8" s="178"/>
      <c r="U8" s="180" t="s">
        <v>341</v>
      </c>
      <c r="V8" s="180">
        <f>'17.Facility 6 Horti Processing '!C156</f>
        <v>1000</v>
      </c>
    </row>
    <row r="9" spans="3:22">
      <c r="C9" s="68" t="str">
        <f>C18</f>
        <v xml:space="preserve">Cashew Apple Processing </v>
      </c>
      <c r="D9" s="68"/>
      <c r="E9" s="68"/>
      <c r="F9" s="69">
        <f>E18</f>
        <v>54338.255999999994</v>
      </c>
      <c r="G9" s="69">
        <f t="shared" si="0"/>
        <v>71318.960999999996</v>
      </c>
      <c r="H9" s="69">
        <f t="shared" si="0"/>
        <v>89861.890859999985</v>
      </c>
      <c r="I9" s="69">
        <f t="shared" si="0"/>
        <v>110080.8163035</v>
      </c>
      <c r="J9" s="69">
        <f t="shared" si="0"/>
        <v>132096.97956420001</v>
      </c>
      <c r="K9" s="69">
        <f t="shared" si="0"/>
        <v>156039.55711021126</v>
      </c>
      <c r="L9" s="67"/>
      <c r="M9" s="67"/>
      <c r="N9" s="180" t="e">
        <f>'13.Facility 2 Grain Processing'!#REF!</f>
        <v>#REF!</v>
      </c>
      <c r="O9" s="180" t="e">
        <f>('13.Facility 2 Grain Processing'!#REF!*'13.Facility 2 Grain Processing'!#REF!/1000)*100</f>
        <v>#REF!</v>
      </c>
      <c r="P9" s="180" t="e">
        <f>O9</f>
        <v>#REF!</v>
      </c>
      <c r="Q9" s="180" t="e">
        <f t="shared" ref="Q9:R9" si="1">P9</f>
        <v>#REF!</v>
      </c>
      <c r="R9" s="180" t="e">
        <f t="shared" si="1"/>
        <v>#REF!</v>
      </c>
      <c r="S9" s="178"/>
      <c r="T9" s="178"/>
      <c r="U9" s="180" t="e">
        <f>'17.Facility 6 Horti Processing '!#REF!</f>
        <v>#REF!</v>
      </c>
      <c r="V9" s="181" t="e">
        <f>'17.Facility 6 Horti Processing '!#REF!</f>
        <v>#REF!</v>
      </c>
    </row>
    <row r="10" spans="3:22">
      <c r="C10" s="68"/>
      <c r="D10" s="68"/>
      <c r="E10" s="68"/>
      <c r="F10" s="69"/>
      <c r="G10" s="69"/>
      <c r="H10" s="69"/>
      <c r="I10" s="69"/>
      <c r="J10" s="69"/>
      <c r="K10" s="69"/>
      <c r="L10" s="67"/>
      <c r="M10" s="67"/>
      <c r="N10" s="180" t="str">
        <f>'13.Facility 2 Grain Processing'!A157</f>
        <v xml:space="preserve">Daily Labour </v>
      </c>
      <c r="O10" s="182">
        <f>('13.Facility 2 Grain Processing'!B157*'13.Facility 2 Grain Processing'!C157)/('13.Facility 2 Grain Processing'!B5*'13.Facility 2 Grain Processing'!B6)</f>
        <v>187.5</v>
      </c>
      <c r="P10" s="182">
        <f>O10</f>
        <v>187.5</v>
      </c>
      <c r="Q10" s="182">
        <f t="shared" ref="Q10:R10" si="2">P10</f>
        <v>187.5</v>
      </c>
      <c r="R10" s="182">
        <f t="shared" si="2"/>
        <v>187.5</v>
      </c>
      <c r="S10" s="178"/>
      <c r="T10" s="178"/>
      <c r="U10" s="180" t="str">
        <f>'17.Facility 6 Horti Processing '!A157</f>
        <v xml:space="preserve">Daily Labour </v>
      </c>
      <c r="V10" s="181">
        <f>'17.Facility 6 Horti Processing '!B157*'17.Facility 6 Horti Processing '!C157/('17.Facility 6 Horti Processing '!B5*'17.Facility 6 Horti Processing '!B6)</f>
        <v>375</v>
      </c>
    </row>
    <row r="11" spans="3:22">
      <c r="C11" s="68"/>
      <c r="D11" s="68"/>
      <c r="E11" s="68"/>
      <c r="F11" s="69"/>
      <c r="G11" s="69"/>
      <c r="H11" s="69"/>
      <c r="I11" s="69"/>
      <c r="J11" s="69"/>
      <c r="K11" s="69"/>
      <c r="L11" s="67"/>
      <c r="M11" s="67"/>
      <c r="N11" s="180" t="str">
        <f>'13.Facility 2 Grain Processing'!A158</f>
        <v>Electricity Charges</v>
      </c>
      <c r="O11" s="182">
        <f>('13.Facility 2 Grain Processing'!B158*'13.Facility 2 Grain Processing'!C158)/('13.Facility 2 Grain Processing'!B5*'13.Facility 2 Grain Processing'!B6)</f>
        <v>37.299999999999997</v>
      </c>
      <c r="P11" s="182">
        <f>O11</f>
        <v>37.299999999999997</v>
      </c>
      <c r="Q11" s="182">
        <f t="shared" ref="Q11" si="3">P11</f>
        <v>37.299999999999997</v>
      </c>
      <c r="R11" s="182">
        <f t="shared" ref="R11" si="4">Q11</f>
        <v>37.299999999999997</v>
      </c>
      <c r="S11" s="178"/>
      <c r="T11" s="178"/>
      <c r="U11" s="180" t="str">
        <f>'17.Facility 6 Horti Processing '!A158</f>
        <v>Electricity Charges</v>
      </c>
      <c r="V11" s="180">
        <f>'17.Facility 6 Horti Processing '!B158*'17.Facility 6 Horti Processing '!C158/('17.Facility 6 Horti Processing '!B5*'17.Facility 6 Horti Processing '!B6)</f>
        <v>111.89999999999999</v>
      </c>
    </row>
    <row r="12" spans="3:22">
      <c r="C12" s="68" t="s">
        <v>1</v>
      </c>
      <c r="D12" s="68"/>
      <c r="E12" s="69"/>
      <c r="F12" s="69">
        <f t="shared" ref="F12:K12" si="5">SUM(F6:F11)</f>
        <v>2217186.0345600001</v>
      </c>
      <c r="G12" s="69">
        <f t="shared" si="5"/>
        <v>2668706.7908256003</v>
      </c>
      <c r="H12" s="69">
        <f t="shared" si="5"/>
        <v>3159836.65763136</v>
      </c>
      <c r="I12" s="69">
        <f t="shared" si="5"/>
        <v>3693407.7441406325</v>
      </c>
      <c r="J12" s="69">
        <f t="shared" si="5"/>
        <v>4272436.3476567538</v>
      </c>
      <c r="K12" s="69">
        <f t="shared" si="5"/>
        <v>4900134.2921641357</v>
      </c>
      <c r="L12" s="67"/>
      <c r="M12" s="67"/>
      <c r="N12" s="180" t="str">
        <f>'13.Facility 2 Grain Processing'!A159</f>
        <v>Loading/Unloading Charges</v>
      </c>
      <c r="O12" s="180">
        <f>'13.Facility 2 Grain Processing'!C159*2</f>
        <v>20</v>
      </c>
      <c r="P12" s="180">
        <f>O12</f>
        <v>20</v>
      </c>
      <c r="Q12" s="180">
        <f t="shared" ref="Q12:R13" si="6">P12</f>
        <v>20</v>
      </c>
      <c r="R12" s="180">
        <f t="shared" si="6"/>
        <v>20</v>
      </c>
      <c r="S12" s="178"/>
      <c r="T12" s="178"/>
      <c r="U12" s="180" t="str">
        <f>'17.Facility 6 Horti Processing '!A159</f>
        <v>Loading/Unloading Charges</v>
      </c>
      <c r="V12" s="180">
        <f>'17.Facility 6 Horti Processing '!C159</f>
        <v>10</v>
      </c>
    </row>
    <row r="13" spans="3:22">
      <c r="C13" s="68"/>
      <c r="D13" s="68"/>
      <c r="E13" s="68"/>
      <c r="F13" s="69"/>
      <c r="G13" s="69"/>
      <c r="H13" s="69"/>
      <c r="I13" s="69"/>
      <c r="J13" s="69"/>
      <c r="K13" s="69"/>
      <c r="L13" s="67"/>
      <c r="M13" s="67"/>
      <c r="N13" s="180" t="str">
        <f>'13.Facility 2 Grain Processing'!A160</f>
        <v>packaging Exp - 500 gm</v>
      </c>
      <c r="O13" s="180">
        <f>'13.Facility 2 Grain Processing'!C160*2</f>
        <v>4</v>
      </c>
      <c r="P13" s="180">
        <f>O13</f>
        <v>4</v>
      </c>
      <c r="Q13" s="180">
        <f t="shared" si="6"/>
        <v>4</v>
      </c>
      <c r="R13" s="180">
        <f t="shared" si="6"/>
        <v>4</v>
      </c>
      <c r="S13" s="178"/>
      <c r="T13" s="178"/>
      <c r="U13" s="180" t="str">
        <f>'17.Facility 6 Horti Processing '!A160</f>
        <v>packaging Exp</v>
      </c>
      <c r="V13" s="9">
        <f>'17.Facility 6 Horti Processing '!C160*100</f>
        <v>1000</v>
      </c>
    </row>
    <row r="14" spans="3:22">
      <c r="C14" s="70" t="s">
        <v>343</v>
      </c>
      <c r="D14" s="68"/>
      <c r="E14" s="68"/>
      <c r="F14" s="69"/>
      <c r="G14" s="69"/>
      <c r="H14" s="69"/>
      <c r="I14" s="69"/>
      <c r="J14" s="69"/>
      <c r="K14" s="69"/>
      <c r="L14" s="67"/>
      <c r="M14" s="67"/>
      <c r="N14" s="180"/>
      <c r="O14" s="9"/>
      <c r="P14" s="9"/>
      <c r="Q14" s="9"/>
      <c r="R14" s="9"/>
      <c r="S14" s="178"/>
      <c r="T14" s="178"/>
      <c r="U14" s="9"/>
      <c r="V14" s="9"/>
    </row>
    <row r="15" spans="3:22" hidden="1">
      <c r="C15" s="68" t="str">
        <f>C6</f>
        <v>Agri Input</v>
      </c>
      <c r="D15" s="200">
        <v>0.05</v>
      </c>
      <c r="E15" s="69">
        <f>SUM('16.Facility 5 Agri Input'!D197:D252)*$D$15</f>
        <v>0</v>
      </c>
      <c r="F15" s="69">
        <f>SUM('16.Facility 5 Agri Input'!E197:E252)*$D$15</f>
        <v>0</v>
      </c>
      <c r="G15" s="69">
        <f>SUM('16.Facility 5 Agri Input'!F197:F252)*$D$15</f>
        <v>0</v>
      </c>
      <c r="H15" s="69">
        <f>SUM('16.Facility 5 Agri Input'!G197:G252)*$D$15</f>
        <v>0</v>
      </c>
      <c r="I15" s="69">
        <f>SUM('16.Facility 5 Agri Input'!H197:H252)*$D$15</f>
        <v>0</v>
      </c>
      <c r="J15" s="69">
        <f>SUM('16.Facility 5 Agri Input'!I197:I252)*$D$15</f>
        <v>0</v>
      </c>
      <c r="K15" s="69">
        <f>SUM('16.Facility 5 Agri Input'!J197:J252)*$D$15</f>
        <v>0</v>
      </c>
      <c r="L15" s="67"/>
      <c r="M15" s="67"/>
      <c r="N15" s="9"/>
      <c r="O15" s="9"/>
      <c r="P15" s="9"/>
      <c r="Q15" s="9"/>
      <c r="R15" s="9"/>
      <c r="U15" s="9"/>
      <c r="V15" s="9"/>
    </row>
    <row r="16" spans="3:22">
      <c r="C16" s="68" t="str">
        <f>C7</f>
        <v>Cashew Nut Trading</v>
      </c>
      <c r="D16" s="314">
        <v>0.03</v>
      </c>
      <c r="E16" s="69">
        <f>SUM('12.Facility 1 - Trading'!D86:D89)*$D$16</f>
        <v>1217146.392</v>
      </c>
      <c r="F16" s="69">
        <f>SUM('12.Facility 1 - Trading'!E86:E89)*$D$16</f>
        <v>1405804.0827600001</v>
      </c>
      <c r="G16" s="69">
        <f>SUM('12.Facility 1 - Trading'!F86:F89)*$D$16</f>
        <v>1610284.6766160002</v>
      </c>
      <c r="H16" s="69">
        <f>SUM('12.Facility 1 - Trading'!G86:G89)*$D$16</f>
        <v>1831698.8196507003</v>
      </c>
      <c r="I16" s="69">
        <f>SUM('12.Facility 1 - Trading'!H86:H89)*$D$16</f>
        <v>2071228.6652973308</v>
      </c>
      <c r="J16" s="69">
        <f>SUM('12.Facility 1 - Trading'!I86:I89)*$D$16</f>
        <v>2330132.248459497</v>
      </c>
      <c r="K16" s="69">
        <f>SUM('12.Facility 1 - Trading'!J86:J89)*$D$16</f>
        <v>2609748.1182746375</v>
      </c>
      <c r="L16" s="67"/>
      <c r="M16" s="67"/>
      <c r="N16" s="179" t="s">
        <v>366</v>
      </c>
      <c r="O16" s="183" t="e">
        <f>SUM(O8:O13)</f>
        <v>#REF!</v>
      </c>
      <c r="P16" s="183" t="e">
        <f>SUM(P8:P13)</f>
        <v>#REF!</v>
      </c>
      <c r="Q16" s="183" t="e">
        <f>SUM(Q8:Q13)</f>
        <v>#REF!</v>
      </c>
      <c r="R16" s="183" t="e">
        <f>SUM(R8:R13)</f>
        <v>#REF!</v>
      </c>
      <c r="U16" s="179" t="s">
        <v>1</v>
      </c>
      <c r="V16" s="183" t="e">
        <f>SUM(V8:V15)</f>
        <v>#REF!</v>
      </c>
    </row>
    <row r="17" spans="1:18">
      <c r="C17" s="68" t="str">
        <f>C8</f>
        <v xml:space="preserve">Cashew Nut Processing </v>
      </c>
      <c r="D17" s="314">
        <v>0.03</v>
      </c>
      <c r="E17" s="69">
        <f>SUM('13.Facility 2 Grain Processing'!D155:D160)*$D$17</f>
        <v>945701.38656000001</v>
      </c>
      <c r="F17" s="69">
        <f>SUM('13.Facility 2 Grain Processing'!E155:E160)*$D$17</f>
        <v>1191583.7470656</v>
      </c>
      <c r="G17" s="69">
        <f>SUM('13.Facility 2 Grain Processing'!F155:F160)*$D$17</f>
        <v>1459690.0901553596</v>
      </c>
      <c r="H17" s="69">
        <f>SUM('13.Facility 2 Grain Processing'!G155:G160)*$D$17</f>
        <v>1751628.1081864322</v>
      </c>
      <c r="I17" s="69">
        <f>SUM('13.Facility 2 Grain Processing'!H155:H160)*$D$17</f>
        <v>2069110.7027952226</v>
      </c>
      <c r="J17" s="69">
        <f>SUM('13.Facility 2 Grain Processing'!I155:I160)*$D$17</f>
        <v>2413962.4865944274</v>
      </c>
      <c r="K17" s="69">
        <f>SUM('13.Facility 2 Grain Processing'!J155:J160)*$D$17</f>
        <v>2788126.6720165638</v>
      </c>
      <c r="L17" s="67"/>
      <c r="M17" s="67"/>
    </row>
    <row r="18" spans="1:18">
      <c r="C18" s="68" t="s">
        <v>738</v>
      </c>
      <c r="D18" s="314">
        <v>0.03</v>
      </c>
      <c r="E18" s="69">
        <f>SUM('17.Facility 6 Horti Processing '!D156:D160)*$D$18</f>
        <v>54338.255999999994</v>
      </c>
      <c r="F18" s="69">
        <f>SUM('17.Facility 6 Horti Processing '!E156:E160)*$D$18</f>
        <v>71318.960999999996</v>
      </c>
      <c r="G18" s="69">
        <f>SUM('17.Facility 6 Horti Processing '!F156:F160)*$D$18</f>
        <v>89861.890859999985</v>
      </c>
      <c r="H18" s="69">
        <f>SUM('17.Facility 6 Horti Processing '!G156:G160)*$D$18</f>
        <v>110080.8163035</v>
      </c>
      <c r="I18" s="69">
        <f>SUM('17.Facility 6 Horti Processing '!H156:H160)*$D$18</f>
        <v>132096.97956420001</v>
      </c>
      <c r="J18" s="69">
        <f>SUM('17.Facility 6 Horti Processing '!I156:I160)*$D$18</f>
        <v>156039.55711021126</v>
      </c>
      <c r="K18" s="69">
        <f>SUM('17.Facility 6 Horti Processing '!J156:J160)*$D$18</f>
        <v>182046.14996191318</v>
      </c>
      <c r="L18" s="67"/>
      <c r="M18" s="67"/>
    </row>
    <row r="19" spans="1:18">
      <c r="C19" s="68"/>
      <c r="D19" s="314"/>
      <c r="E19" s="69"/>
      <c r="F19" s="69"/>
      <c r="G19" s="69"/>
      <c r="H19" s="69"/>
      <c r="I19" s="69"/>
      <c r="J19" s="69"/>
      <c r="K19" s="69"/>
      <c r="L19" s="67"/>
      <c r="M19" s="67"/>
    </row>
    <row r="20" spans="1:18">
      <c r="C20" s="68"/>
      <c r="D20" s="288"/>
      <c r="E20" s="68"/>
      <c r="F20" s="69"/>
      <c r="G20" s="69"/>
      <c r="H20" s="69"/>
      <c r="I20" s="69"/>
      <c r="J20" s="69"/>
      <c r="K20" s="69"/>
      <c r="L20" s="67"/>
      <c r="M20" s="67"/>
    </row>
    <row r="21" spans="1:18">
      <c r="C21" s="68" t="s">
        <v>1</v>
      </c>
      <c r="D21" s="68"/>
      <c r="E21" s="157">
        <f t="shared" ref="E21:K21" si="7">SUM(E15:E20)</f>
        <v>2217186.0345600001</v>
      </c>
      <c r="F21" s="69">
        <f t="shared" si="7"/>
        <v>2668706.7908256003</v>
      </c>
      <c r="G21" s="69">
        <f t="shared" si="7"/>
        <v>3159836.65763136</v>
      </c>
      <c r="H21" s="69">
        <f t="shared" si="7"/>
        <v>3693407.7441406325</v>
      </c>
      <c r="I21" s="69">
        <f t="shared" si="7"/>
        <v>4272436.3476567538</v>
      </c>
      <c r="J21" s="69">
        <f t="shared" si="7"/>
        <v>4900134.2921641357</v>
      </c>
      <c r="K21" s="69">
        <f t="shared" si="7"/>
        <v>5579920.9402531143</v>
      </c>
      <c r="L21" s="67"/>
      <c r="M21" s="67"/>
    </row>
    <row r="22" spans="1:18">
      <c r="C22" s="67"/>
      <c r="D22" s="67"/>
      <c r="E22" s="67"/>
      <c r="F22" s="67"/>
      <c r="G22" s="67"/>
      <c r="H22" s="67"/>
      <c r="I22" s="67"/>
      <c r="J22" s="67"/>
      <c r="K22" s="67"/>
      <c r="L22" s="67"/>
      <c r="M22" s="67"/>
    </row>
    <row r="23" spans="1:18" ht="41.1" customHeight="1">
      <c r="A23" s="388" t="s">
        <v>411</v>
      </c>
      <c r="B23" s="388"/>
      <c r="C23" s="388"/>
      <c r="D23" s="388"/>
      <c r="E23" s="388"/>
      <c r="F23" s="388"/>
      <c r="G23" s="388"/>
      <c r="H23" s="388"/>
      <c r="I23" s="388"/>
      <c r="J23" s="388"/>
      <c r="K23" s="388"/>
      <c r="L23" s="236"/>
      <c r="M23" s="236"/>
      <c r="N23" s="236"/>
      <c r="O23" s="204"/>
      <c r="P23" s="204"/>
      <c r="Q23" s="204"/>
      <c r="R23" s="204"/>
    </row>
    <row r="24" spans="1:18">
      <c r="A24" t="s">
        <v>508</v>
      </c>
    </row>
    <row r="25" spans="1:18">
      <c r="A25">
        <v>1</v>
      </c>
      <c r="B25" t="s">
        <v>511</v>
      </c>
    </row>
    <row r="28" spans="1:18" ht="18.75">
      <c r="B28" s="381" t="s">
        <v>533</v>
      </c>
      <c r="C28" s="381"/>
      <c r="D28" s="381"/>
      <c r="E28" s="381"/>
      <c r="F28" s="381"/>
      <c r="G28" s="381"/>
      <c r="H28" s="381"/>
      <c r="I28" s="381"/>
      <c r="J28" s="381"/>
      <c r="K28" s="381"/>
    </row>
    <row r="30" spans="1:18">
      <c r="B30" s="400" t="s">
        <v>145</v>
      </c>
      <c r="C30" s="400" t="s">
        <v>0</v>
      </c>
      <c r="D30" s="403" t="s">
        <v>362</v>
      </c>
      <c r="E30" s="405" t="s">
        <v>159</v>
      </c>
      <c r="F30" s="406"/>
      <c r="G30" s="406"/>
      <c r="H30" s="406"/>
      <c r="I30" s="406"/>
      <c r="J30" s="406"/>
      <c r="K30" s="406"/>
    </row>
    <row r="31" spans="1:18">
      <c r="B31" s="400"/>
      <c r="C31" s="400"/>
      <c r="D31" s="404"/>
      <c r="E31" s="317" t="s">
        <v>2</v>
      </c>
      <c r="F31" s="317" t="s">
        <v>3</v>
      </c>
      <c r="G31" s="317" t="s">
        <v>4</v>
      </c>
      <c r="H31" s="317" t="s">
        <v>5</v>
      </c>
      <c r="I31" s="317" t="s">
        <v>6</v>
      </c>
      <c r="J31" s="317" t="s">
        <v>169</v>
      </c>
      <c r="K31" s="317" t="s">
        <v>168</v>
      </c>
    </row>
    <row r="32" spans="1:18">
      <c r="B32" s="167"/>
      <c r="C32" s="168"/>
      <c r="D32" s="168"/>
      <c r="E32" s="169"/>
      <c r="F32" s="169"/>
      <c r="G32" s="169"/>
      <c r="H32" s="169"/>
      <c r="I32" s="169"/>
      <c r="J32" s="169"/>
      <c r="K32" s="169"/>
    </row>
    <row r="33" spans="2:11" ht="28.5">
      <c r="B33" s="170" t="s">
        <v>173</v>
      </c>
      <c r="C33" s="171" t="s">
        <v>344</v>
      </c>
      <c r="D33" s="317"/>
      <c r="E33" s="172"/>
      <c r="F33" s="172"/>
      <c r="G33" s="172"/>
      <c r="H33" s="172"/>
      <c r="I33" s="172"/>
      <c r="J33" s="172"/>
      <c r="K33" s="172"/>
    </row>
    <row r="34" spans="2:11" hidden="1">
      <c r="B34" s="198">
        <v>1</v>
      </c>
      <c r="C34" s="173" t="s">
        <v>364</v>
      </c>
      <c r="D34" s="317">
        <v>14</v>
      </c>
      <c r="E34" s="172">
        <f>('16.Facility 5 Agri Input'!D191/365)*$D$34</f>
        <v>0</v>
      </c>
      <c r="F34" s="172">
        <f>('16.Facility 5 Agri Input'!E191/365)*$D$34</f>
        <v>0</v>
      </c>
      <c r="G34" s="172">
        <f>('16.Facility 5 Agri Input'!F191/365)*$D$34</f>
        <v>0</v>
      </c>
      <c r="H34" s="172">
        <f>('16.Facility 5 Agri Input'!G191/365)*$D$34</f>
        <v>0</v>
      </c>
      <c r="I34" s="172">
        <f>('16.Facility 5 Agri Input'!H191/365)*$D$34</f>
        <v>0</v>
      </c>
      <c r="J34" s="172">
        <f>('16.Facility 5 Agri Input'!I191/365)*$D$34</f>
        <v>0</v>
      </c>
      <c r="K34" s="172">
        <f>('16.Facility 5 Agri Input'!J191/365)*$D$34</f>
        <v>0</v>
      </c>
    </row>
    <row r="35" spans="2:11" hidden="1">
      <c r="B35" s="198">
        <v>2</v>
      </c>
      <c r="C35" s="173" t="s">
        <v>359</v>
      </c>
      <c r="D35" s="317">
        <v>14</v>
      </c>
      <c r="E35" s="172">
        <f>('15. Facility 4 Custom Hiring'!E39/365)*$D$35</f>
        <v>0</v>
      </c>
      <c r="F35" s="172">
        <f>('15. Facility 4 Custom Hiring'!F39/365)*$D$35</f>
        <v>0</v>
      </c>
      <c r="G35" s="172">
        <f>('15. Facility 4 Custom Hiring'!G39/365)*$D$35</f>
        <v>0</v>
      </c>
      <c r="H35" s="172">
        <f>('15. Facility 4 Custom Hiring'!H39/365)*$D$35</f>
        <v>0</v>
      </c>
      <c r="I35" s="172">
        <f>('15. Facility 4 Custom Hiring'!I39/365)*$D$35</f>
        <v>0</v>
      </c>
      <c r="J35" s="172">
        <f>('15. Facility 4 Custom Hiring'!J39/365)*$D$35</f>
        <v>0</v>
      </c>
      <c r="K35" s="172">
        <f>('15. Facility 4 Custom Hiring'!K39/365)*$D$35</f>
        <v>0</v>
      </c>
    </row>
    <row r="36" spans="2:11">
      <c r="B36" s="198">
        <v>1</v>
      </c>
      <c r="C36" s="173" t="s">
        <v>736</v>
      </c>
      <c r="D36" s="317">
        <v>14</v>
      </c>
      <c r="E36" s="172">
        <f>('12.Facility 1 - Trading'!D82/365)*$D$36</f>
        <v>1544292.591780822</v>
      </c>
      <c r="F36" s="172">
        <f>('12.Facility 1 - Trading'!E82/365)*$D$36</f>
        <v>1833393.3193972609</v>
      </c>
      <c r="G36" s="172">
        <f>('12.Facility 1 - Trading'!F82/365)*$D$36</f>
        <v>2100543.4580794526</v>
      </c>
      <c r="H36" s="172">
        <f>('12.Facility 1 - Trading'!G82/365)*$D$36</f>
        <v>2389825.127331371</v>
      </c>
      <c r="I36" s="172">
        <f>('12.Facility 1 - Trading'!H82/365)*$D$36</f>
        <v>2702783.6048632818</v>
      </c>
      <c r="J36" s="172">
        <f>('12.Facility 1 - Trading'!I82/365)*$D$36</f>
        <v>3041063.3673300557</v>
      </c>
      <c r="K36" s="172">
        <f>('12.Facility 1 - Trading'!J82/365)*$D$36</f>
        <v>3406414.1470313496</v>
      </c>
    </row>
    <row r="37" spans="2:11">
      <c r="B37" s="198">
        <v>2</v>
      </c>
      <c r="C37" s="173" t="s">
        <v>739</v>
      </c>
      <c r="D37" s="317">
        <v>14</v>
      </c>
      <c r="E37" s="172">
        <f>('13.Facility 2 Grain Processing'!D151/365)*$D$37</f>
        <v>1304644.7455232877</v>
      </c>
      <c r="F37" s="172">
        <f>('13.Facility 2 Grain Processing'!E151/365)*$D$37</f>
        <v>1686219.7087242736</v>
      </c>
      <c r="G37" s="172">
        <f>('13.Facility 2 Grain Processing'!F151/365)*$D$37</f>
        <v>2067101.9997150078</v>
      </c>
      <c r="H37" s="172">
        <f>('13.Facility 2 Grain Processing'!G151/365)*$D$37</f>
        <v>2481856.9705330054</v>
      </c>
      <c r="I37" s="172">
        <f>('13.Facility 2 Grain Processing'!H151/365)*$D$37</f>
        <v>2932919.6834335146</v>
      </c>
      <c r="J37" s="172">
        <f>('13.Facility 2 Grain Processing'!I151/365)*$D$37</f>
        <v>3422884.0251977425</v>
      </c>
      <c r="K37" s="172">
        <f>('13.Facility 2 Grain Processing'!J151/365)*$D$37</f>
        <v>3954512.5019298103</v>
      </c>
    </row>
    <row r="38" spans="2:11" hidden="1">
      <c r="B38" s="198">
        <v>5</v>
      </c>
      <c r="C38" s="173" t="s">
        <v>299</v>
      </c>
      <c r="D38" s="317">
        <v>14</v>
      </c>
      <c r="E38" s="172">
        <f>('14. Facility 3 Warehouse'!D23/365)*$D$38</f>
        <v>0</v>
      </c>
      <c r="F38" s="172">
        <f>('14. Facility 3 Warehouse'!E23/365)*$D$38</f>
        <v>0</v>
      </c>
      <c r="G38" s="172">
        <f>('14. Facility 3 Warehouse'!F23/365)*$D$38</f>
        <v>0</v>
      </c>
      <c r="H38" s="172">
        <f>('14. Facility 3 Warehouse'!G23/365)*$D$38</f>
        <v>0</v>
      </c>
      <c r="I38" s="172">
        <f>('14. Facility 3 Warehouse'!H23/365)*$D$38</f>
        <v>0</v>
      </c>
      <c r="J38" s="172">
        <f>('14. Facility 3 Warehouse'!I23/365)*$D$38</f>
        <v>0</v>
      </c>
      <c r="K38" s="172">
        <f>('14. Facility 3 Warehouse'!J23/365)*$D$38</f>
        <v>0</v>
      </c>
    </row>
    <row r="39" spans="2:11">
      <c r="B39" s="198">
        <v>3</v>
      </c>
      <c r="C39" s="173" t="s">
        <v>740</v>
      </c>
      <c r="D39" s="317">
        <v>14</v>
      </c>
      <c r="E39" s="172">
        <f>('17.Facility 6 Horti Processing '!D152/365)*$D$39</f>
        <v>112509.36986301368</v>
      </c>
      <c r="F39" s="172">
        <f>('17.Facility 6 Horti Processing '!E152/365)*$D$39</f>
        <v>151322.202739726</v>
      </c>
      <c r="G39" s="172">
        <f>('17.Facility 6 Horti Processing '!F152/365)*$D$39</f>
        <v>190857.79232876713</v>
      </c>
      <c r="H39" s="172">
        <f>('17.Facility 6 Horti Processing '!G152/365)*$D$39</f>
        <v>233968.63536986304</v>
      </c>
      <c r="I39" s="172">
        <f>('17.Facility 6 Horti Processing '!H152/365)*$D$39</f>
        <v>280913.41823424655</v>
      </c>
      <c r="J39" s="172">
        <f>('17.Facility 6 Horti Processing '!I152/365)*$D$39</f>
        <v>331967.75779664388</v>
      </c>
      <c r="K39" s="172">
        <f>('17.Facility 6 Horti Processing '!J152/365)*$D$39</f>
        <v>387425.24776969536</v>
      </c>
    </row>
    <row r="40" spans="2:11">
      <c r="B40" s="198"/>
      <c r="C40" s="173"/>
      <c r="D40" s="317"/>
      <c r="E40" s="172"/>
      <c r="F40" s="172"/>
      <c r="G40" s="172"/>
      <c r="H40" s="172"/>
      <c r="I40" s="172"/>
      <c r="J40" s="172"/>
      <c r="K40" s="172"/>
    </row>
    <row r="41" spans="2:11">
      <c r="B41" s="170"/>
      <c r="C41" s="171" t="s">
        <v>171</v>
      </c>
      <c r="D41" s="317"/>
      <c r="E41" s="172">
        <f>SUM(E34:E40)</f>
        <v>2961446.7071671234</v>
      </c>
      <c r="F41" s="172">
        <f t="shared" ref="F41:K41" si="8">SUM(F34:F40)</f>
        <v>3670935.2308612606</v>
      </c>
      <c r="G41" s="172">
        <f t="shared" si="8"/>
        <v>4358503.2501232279</v>
      </c>
      <c r="H41" s="172">
        <f t="shared" si="8"/>
        <v>5105650.7332342397</v>
      </c>
      <c r="I41" s="172">
        <f t="shared" si="8"/>
        <v>5916616.7065310432</v>
      </c>
      <c r="J41" s="172">
        <f t="shared" si="8"/>
        <v>6795915.1503244424</v>
      </c>
      <c r="K41" s="172">
        <f t="shared" si="8"/>
        <v>7748351.896730856</v>
      </c>
    </row>
    <row r="42" spans="2:11">
      <c r="B42" s="170" t="s">
        <v>174</v>
      </c>
      <c r="C42" s="171" t="s">
        <v>343</v>
      </c>
      <c r="D42" s="317"/>
      <c r="E42" s="172">
        <f>'5.Closing Stock &amp; W Capital'!E21</f>
        <v>2217186.0345600001</v>
      </c>
      <c r="F42" s="172">
        <f>'5.Closing Stock &amp; W Capital'!F21</f>
        <v>2668706.7908256003</v>
      </c>
      <c r="G42" s="172">
        <f>'5.Closing Stock &amp; W Capital'!G21</f>
        <v>3159836.65763136</v>
      </c>
      <c r="H42" s="172">
        <f>'5.Closing Stock &amp; W Capital'!H21</f>
        <v>3693407.7441406325</v>
      </c>
      <c r="I42" s="172">
        <f>'5.Closing Stock &amp; W Capital'!I21</f>
        <v>4272436.3476567538</v>
      </c>
      <c r="J42" s="172">
        <f>'5.Closing Stock &amp; W Capital'!J21</f>
        <v>4900134.2921641357</v>
      </c>
      <c r="K42" s="172">
        <f>'5.Closing Stock &amp; W Capital'!K21</f>
        <v>5579920.9402531143</v>
      </c>
    </row>
    <row r="43" spans="2:11">
      <c r="B43" s="170"/>
      <c r="C43" s="173"/>
      <c r="D43" s="317"/>
      <c r="E43" s="172"/>
      <c r="F43" s="172"/>
      <c r="G43" s="172"/>
      <c r="H43" s="172"/>
      <c r="I43" s="172"/>
      <c r="J43" s="172"/>
      <c r="K43" s="172"/>
    </row>
    <row r="44" spans="2:11">
      <c r="B44" s="401" t="s">
        <v>1</v>
      </c>
      <c r="C44" s="402"/>
      <c r="D44" s="318"/>
      <c r="E44" s="174">
        <f>SUM(E41:E42)</f>
        <v>5178632.741727123</v>
      </c>
      <c r="F44" s="174">
        <f t="shared" ref="F44:K44" si="9">SUM(F41:F42)</f>
        <v>6339642.0216868613</v>
      </c>
      <c r="G44" s="174">
        <f t="shared" si="9"/>
        <v>7518339.9077545879</v>
      </c>
      <c r="H44" s="174">
        <f t="shared" si="9"/>
        <v>8799058.4773748722</v>
      </c>
      <c r="I44" s="174">
        <f t="shared" si="9"/>
        <v>10189053.054187797</v>
      </c>
      <c r="J44" s="174">
        <f t="shared" si="9"/>
        <v>11696049.442488577</v>
      </c>
      <c r="K44" s="174">
        <f t="shared" si="9"/>
        <v>13328272.836983971</v>
      </c>
    </row>
    <row r="45" spans="2:11">
      <c r="B45" s="170"/>
      <c r="C45" s="171"/>
      <c r="D45" s="317"/>
      <c r="E45" s="172"/>
      <c r="F45" s="172"/>
      <c r="G45" s="172"/>
      <c r="H45" s="172"/>
      <c r="I45" s="172"/>
      <c r="J45" s="172"/>
      <c r="K45" s="172"/>
    </row>
    <row r="46" spans="2:11" ht="34.5" customHeight="1">
      <c r="B46" s="170" t="s">
        <v>175</v>
      </c>
      <c r="C46" s="173" t="s">
        <v>345</v>
      </c>
      <c r="D46" s="317"/>
      <c r="E46" s="172"/>
      <c r="F46" s="172"/>
      <c r="G46" s="172"/>
      <c r="H46" s="172"/>
      <c r="I46" s="172"/>
      <c r="J46" s="172"/>
      <c r="K46" s="172"/>
    </row>
    <row r="47" spans="2:11" hidden="1">
      <c r="B47" s="198">
        <v>1</v>
      </c>
      <c r="C47" s="173" t="str">
        <f t="shared" ref="C47:C52" si="10">C34</f>
        <v>Agri Input</v>
      </c>
      <c r="D47" s="317">
        <v>7</v>
      </c>
      <c r="E47" s="172">
        <f>('16.Facility 5 Agri Input'!D262/365)*$D$47</f>
        <v>0</v>
      </c>
      <c r="F47" s="172">
        <f>('16.Facility 5 Agri Input'!E262/365)*$D$47</f>
        <v>0</v>
      </c>
      <c r="G47" s="172">
        <f>('16.Facility 5 Agri Input'!F262/365)*$D$47</f>
        <v>0</v>
      </c>
      <c r="H47" s="172">
        <f>('16.Facility 5 Agri Input'!G262/365)*$D$47</f>
        <v>0</v>
      </c>
      <c r="I47" s="172">
        <f>('16.Facility 5 Agri Input'!H262/365)*$D$47</f>
        <v>0</v>
      </c>
      <c r="J47" s="172">
        <f>('16.Facility 5 Agri Input'!I262/365)*$D$47</f>
        <v>0</v>
      </c>
      <c r="K47" s="172">
        <f>('16.Facility 5 Agri Input'!J262/365)*$D$47</f>
        <v>0</v>
      </c>
    </row>
    <row r="48" spans="2:11" hidden="1">
      <c r="B48" s="198">
        <v>2</v>
      </c>
      <c r="C48" s="173" t="str">
        <f t="shared" si="10"/>
        <v>Custom Hiring</v>
      </c>
      <c r="D48" s="317">
        <v>7</v>
      </c>
      <c r="E48" s="172">
        <f>('15. Facility 4 Custom Hiring'!E49/365)*$D$49</f>
        <v>0</v>
      </c>
      <c r="F48" s="172">
        <f>('15. Facility 4 Custom Hiring'!F49/365)*$D$49</f>
        <v>0</v>
      </c>
      <c r="G48" s="172">
        <f>('15. Facility 4 Custom Hiring'!G49/365)*$D$49</f>
        <v>0</v>
      </c>
      <c r="H48" s="172">
        <f>('15. Facility 4 Custom Hiring'!H49/365)*$D$49</f>
        <v>0</v>
      </c>
      <c r="I48" s="172">
        <f>('15. Facility 4 Custom Hiring'!I49/365)*$D$49</f>
        <v>0</v>
      </c>
      <c r="J48" s="172">
        <f>('15. Facility 4 Custom Hiring'!J49/365)*$D$49</f>
        <v>0</v>
      </c>
      <c r="K48" s="172">
        <f>('15. Facility 4 Custom Hiring'!K49/365)*$D$49</f>
        <v>0</v>
      </c>
    </row>
    <row r="49" spans="1:12">
      <c r="B49" s="198">
        <v>1</v>
      </c>
      <c r="C49" s="173" t="str">
        <f t="shared" si="10"/>
        <v>Cashew Nut Trading</v>
      </c>
      <c r="D49" s="317">
        <v>7</v>
      </c>
      <c r="E49" s="172">
        <f>('12.Facility 1 - Trading'!D97/365)*$D$49</f>
        <v>756636.59894794517</v>
      </c>
      <c r="F49" s="172">
        <f>('12.Facility 1 - Trading'!E97/365)*$D$49</f>
        <v>897257.80533008231</v>
      </c>
      <c r="G49" s="172">
        <f>('12.Facility 1 - Trading'!F97/365)*$D$49</f>
        <v>1027990.8466528441</v>
      </c>
      <c r="H49" s="172">
        <f>('12.Facility 1 - Trading'!G97/365)*$D$49</f>
        <v>1169554.0475945568</v>
      </c>
      <c r="I49" s="172">
        <f>('12.Facility 1 - Trading'!H97/365)*$D$49</f>
        <v>1322703.5915138086</v>
      </c>
      <c r="J49" s="172">
        <f>('12.Facility 1 - Trading'!I97/365)*$D$49</f>
        <v>1488244.204705999</v>
      </c>
      <c r="K49" s="172">
        <f>('12.Facility 1 - Trading'!J97/365)*$D$49</f>
        <v>1667032.120238625</v>
      </c>
    </row>
    <row r="50" spans="1:12">
      <c r="B50" s="198">
        <v>2</v>
      </c>
      <c r="C50" s="173" t="str">
        <f t="shared" si="10"/>
        <v>Cashew Nut Processing</v>
      </c>
      <c r="D50" s="317">
        <v>7</v>
      </c>
      <c r="E50" s="172">
        <f>('13.Facility 2 Grain Processing'!D172/365)*$D$50</f>
        <v>591247.59352898633</v>
      </c>
      <c r="F50" s="172">
        <f>('13.Facility 2 Grain Processing'!E172/365)*$D$50</f>
        <v>763108.7067668516</v>
      </c>
      <c r="G50" s="172">
        <f>('13.Facility 2 Grain Processing'!F172/365)*$D$50</f>
        <v>935442.9516516045</v>
      </c>
      <c r="H50" s="172">
        <f>('13.Facility 2 Grain Processing'!G172/365)*$D$50</f>
        <v>1123102.849257916</v>
      </c>
      <c r="I50" s="172">
        <f>('13.Facility 2 Grain Processing'!H172/365)*$D$50</f>
        <v>1327190.1292457292</v>
      </c>
      <c r="J50" s="172">
        <f>('13.Facility 2 Grain Processing'!I172/365)*$D$50</f>
        <v>1548878.3801091798</v>
      </c>
      <c r="K50" s="172">
        <f>('13.Facility 2 Grain Processing'!J172/365)*$D$50</f>
        <v>1789417.4807358603</v>
      </c>
    </row>
    <row r="51" spans="1:12" hidden="1">
      <c r="B51" s="198">
        <v>5</v>
      </c>
      <c r="C51" s="173" t="str">
        <f t="shared" si="10"/>
        <v>Warehouse</v>
      </c>
      <c r="D51" s="317">
        <v>7</v>
      </c>
      <c r="E51" s="172">
        <f>('14. Facility 3 Warehouse'!D34/365)*$D$51</f>
        <v>0</v>
      </c>
      <c r="F51" s="172">
        <f>('14. Facility 3 Warehouse'!E34/365)*$D$51</f>
        <v>0</v>
      </c>
      <c r="G51" s="172">
        <f>('14. Facility 3 Warehouse'!F34/365)*$D$51</f>
        <v>0</v>
      </c>
      <c r="H51" s="172">
        <f>('14. Facility 3 Warehouse'!G34/365)*$D$51</f>
        <v>0</v>
      </c>
      <c r="I51" s="172">
        <f>('14. Facility 3 Warehouse'!H34/365)*$D$51</f>
        <v>0</v>
      </c>
      <c r="J51" s="172">
        <f>('14. Facility 3 Warehouse'!I34/365)*$D$51</f>
        <v>0</v>
      </c>
      <c r="K51" s="172">
        <f>('14. Facility 3 Warehouse'!J34/365)*$D$51</f>
        <v>0</v>
      </c>
    </row>
    <row r="52" spans="1:12">
      <c r="B52" s="198">
        <v>3</v>
      </c>
      <c r="C52" s="173" t="str">
        <f t="shared" si="10"/>
        <v>Cashew Apple Processing</v>
      </c>
      <c r="D52" s="317">
        <v>7</v>
      </c>
      <c r="E52" s="172">
        <f>('17.Facility 6 Horti Processing '!D169/365)*$D$52</f>
        <v>19499.771764602738</v>
      </c>
      <c r="F52" s="172">
        <f>('17.Facility 6 Horti Processing '!E169/365)*$D$52</f>
        <v>44682.368154687123</v>
      </c>
      <c r="G52" s="172">
        <f>('17.Facility 6 Horti Processing '!F169/365)*$D$52</f>
        <v>57099.614061292283</v>
      </c>
      <c r="H52" s="172">
        <f>('17.Facility 6 Horti Processing '!G169/365)*$D$52</f>
        <v>70646.878638171198</v>
      </c>
      <c r="I52" s="172">
        <f>('17.Facility 6 Horti Processing '!H169/365)*$D$52</f>
        <v>85406.120637584856</v>
      </c>
      <c r="J52" s="172">
        <f>('17.Facility 6 Horti Processing '!I169/365)*$D$52</f>
        <v>101464.66964034436</v>
      </c>
      <c r="K52" s="172">
        <f>('17.Facility 6 Horti Processing '!J169/365)*$D$52</f>
        <v>118915.55824178596</v>
      </c>
    </row>
    <row r="53" spans="1:12">
      <c r="B53" s="198"/>
      <c r="C53" s="173"/>
      <c r="D53" s="317"/>
      <c r="E53" s="172"/>
      <c r="F53" s="172"/>
      <c r="G53" s="172"/>
      <c r="H53" s="172"/>
      <c r="I53" s="172"/>
      <c r="J53" s="172"/>
      <c r="K53" s="172"/>
    </row>
    <row r="54" spans="1:12">
      <c r="B54" s="166"/>
      <c r="C54" s="171" t="s">
        <v>1</v>
      </c>
      <c r="D54" s="317"/>
      <c r="E54" s="174">
        <f>SUM(E47:E53)</f>
        <v>1367383.9642415342</v>
      </c>
      <c r="F54" s="174">
        <f t="shared" ref="F54:K54" si="11">SUM(F47:F53)</f>
        <v>1705048.8802516211</v>
      </c>
      <c r="G54" s="174">
        <f t="shared" si="11"/>
        <v>2020533.4123657409</v>
      </c>
      <c r="H54" s="174">
        <f t="shared" si="11"/>
        <v>2363303.7754906439</v>
      </c>
      <c r="I54" s="174">
        <f t="shared" si="11"/>
        <v>2735299.8413971229</v>
      </c>
      <c r="J54" s="174">
        <f t="shared" si="11"/>
        <v>3138587.2544555236</v>
      </c>
      <c r="K54" s="174">
        <f t="shared" si="11"/>
        <v>3575365.1592162712</v>
      </c>
    </row>
    <row r="55" spans="1:12">
      <c r="B55" s="170" t="s">
        <v>176</v>
      </c>
      <c r="C55" s="171" t="s">
        <v>157</v>
      </c>
      <c r="D55" s="317"/>
      <c r="E55" s="174">
        <f>E44-E54</f>
        <v>3811248.7774855886</v>
      </c>
      <c r="F55" s="174">
        <f t="shared" ref="F55:K55" si="12">F44-F54</f>
        <v>4634593.1414352404</v>
      </c>
      <c r="G55" s="174">
        <f t="shared" si="12"/>
        <v>5497806.4953888468</v>
      </c>
      <c r="H55" s="174">
        <f t="shared" si="12"/>
        <v>6435754.7018842287</v>
      </c>
      <c r="I55" s="174">
        <f t="shared" si="12"/>
        <v>7453753.2127906736</v>
      </c>
      <c r="J55" s="174">
        <f t="shared" si="12"/>
        <v>8557462.1880330537</v>
      </c>
      <c r="K55" s="174">
        <f t="shared" si="12"/>
        <v>9752907.6777676996</v>
      </c>
    </row>
    <row r="56" spans="1:12">
      <c r="B56" s="170"/>
      <c r="C56" s="171" t="s">
        <v>135</v>
      </c>
      <c r="D56" s="319">
        <v>0.25</v>
      </c>
      <c r="E56" s="174">
        <f>E55*$D$56</f>
        <v>952812.19437139714</v>
      </c>
      <c r="F56" s="174"/>
      <c r="G56" s="174"/>
      <c r="H56" s="174"/>
      <c r="I56" s="174"/>
      <c r="J56" s="174"/>
      <c r="K56" s="174"/>
    </row>
    <row r="58" spans="1:12">
      <c r="E58" s="20"/>
    </row>
    <row r="59" spans="1:12" ht="37.15" customHeight="1">
      <c r="A59" s="398" t="s">
        <v>407</v>
      </c>
      <c r="B59" s="399"/>
      <c r="C59" s="399"/>
      <c r="D59" s="399"/>
      <c r="E59" s="399"/>
      <c r="F59" s="399"/>
      <c r="G59" s="399"/>
      <c r="H59" s="399"/>
      <c r="I59" s="399"/>
      <c r="J59" s="399"/>
      <c r="K59" s="399"/>
      <c r="L59" s="399"/>
    </row>
    <row r="60" spans="1:12">
      <c r="A60" t="s">
        <v>512</v>
      </c>
    </row>
    <row r="61" spans="1:12">
      <c r="A61">
        <v>1</v>
      </c>
      <c r="B61" t="s">
        <v>513</v>
      </c>
    </row>
    <row r="62" spans="1:12">
      <c r="A62">
        <v>2</v>
      </c>
      <c r="B62" t="s">
        <v>514</v>
      </c>
    </row>
    <row r="63" spans="1:12">
      <c r="A63">
        <v>3</v>
      </c>
      <c r="B63" t="s">
        <v>515</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landscape" horizontalDpi="4294967292" r:id="rId1"/>
</worksheet>
</file>

<file path=xl/worksheets/sheet7.xml><?xml version="1.0" encoding="utf-8"?>
<worksheet xmlns="http://schemas.openxmlformats.org/spreadsheetml/2006/main" xmlns:r="http://schemas.openxmlformats.org/officeDocument/2006/relationships">
  <dimension ref="A2:J58"/>
  <sheetViews>
    <sheetView view="pageBreakPreview" topLeftCell="A19" zoomScale="80" zoomScaleSheetLayoutView="80" workbookViewId="0">
      <selection activeCell="G15" sqref="G15"/>
    </sheetView>
  </sheetViews>
  <sheetFormatPr defaultRowHeight="15"/>
  <cols>
    <col min="1" max="1" width="34.28515625" customWidth="1"/>
    <col min="2" max="2" width="12.85546875" customWidth="1"/>
    <col min="3" max="3" width="13.140625" customWidth="1"/>
    <col min="4" max="8" width="14.140625" bestFit="1" customWidth="1"/>
    <col min="9" max="9" width="8.5703125" customWidth="1"/>
    <col min="10" max="10" width="10.28515625" bestFit="1" customWidth="1"/>
    <col min="11" max="11" width="9.5703125" bestFit="1" customWidth="1"/>
  </cols>
  <sheetData>
    <row r="2" spans="1:8" ht="18.75">
      <c r="A2" s="381" t="s">
        <v>534</v>
      </c>
      <c r="B2" s="381"/>
      <c r="C2" s="381"/>
      <c r="D2" s="381"/>
      <c r="E2" s="381"/>
      <c r="F2" s="381"/>
      <c r="G2" s="381"/>
      <c r="H2" s="381"/>
    </row>
    <row r="4" spans="1:8">
      <c r="B4" s="4"/>
      <c r="C4" s="4"/>
      <c r="D4" s="4"/>
      <c r="E4" s="4"/>
      <c r="F4" s="4"/>
    </row>
    <row r="5" spans="1:8">
      <c r="A5" s="315" t="s">
        <v>0</v>
      </c>
      <c r="B5" s="316" t="s">
        <v>2</v>
      </c>
      <c r="C5" s="316" t="s">
        <v>3</v>
      </c>
      <c r="D5" s="316" t="s">
        <v>4</v>
      </c>
      <c r="E5" s="316" t="s">
        <v>5</v>
      </c>
      <c r="F5" s="316" t="s">
        <v>6</v>
      </c>
      <c r="G5" s="316" t="s">
        <v>169</v>
      </c>
      <c r="H5" s="316" t="s">
        <v>168</v>
      </c>
    </row>
    <row r="6" spans="1:8">
      <c r="A6" s="70" t="s">
        <v>127</v>
      </c>
      <c r="B6" s="68"/>
      <c r="C6" s="68"/>
      <c r="D6" s="68"/>
      <c r="E6" s="68"/>
      <c r="F6" s="68"/>
      <c r="G6" s="68"/>
      <c r="H6" s="68"/>
    </row>
    <row r="7" spans="1:8">
      <c r="A7" s="68"/>
      <c r="B7" s="68"/>
      <c r="C7" s="68"/>
      <c r="D7" s="68"/>
      <c r="E7" s="68"/>
      <c r="F7" s="68"/>
      <c r="G7" s="68"/>
      <c r="H7" s="68"/>
    </row>
    <row r="8" spans="1:8">
      <c r="A8" s="68" t="s">
        <v>741</v>
      </c>
      <c r="B8" s="69">
        <f>'12.Facility 1 - Trading'!D82</f>
        <v>40261914</v>
      </c>
      <c r="C8" s="69">
        <f>'12.Facility 1 - Trading'!E82</f>
        <v>47799182.970000014</v>
      </c>
      <c r="D8" s="69">
        <f>'12.Facility 1 - Trading'!F82</f>
        <v>54764168.728500016</v>
      </c>
      <c r="E8" s="69">
        <f>'12.Facility 1 - Trading'!G82</f>
        <v>62306155.105425023</v>
      </c>
      <c r="F8" s="69">
        <f>'12.Facility 1 - Trading'!H82</f>
        <v>70465429.698221281</v>
      </c>
      <c r="G8" s="69">
        <f>'12.Facility 1 - Trading'!I82</f>
        <v>79284866.362533599</v>
      </c>
      <c r="H8" s="69">
        <f>'12.Facility 1 - Trading'!J82</f>
        <v>88810083.119031608</v>
      </c>
    </row>
    <row r="9" spans="1:8">
      <c r="A9" s="68" t="s">
        <v>742</v>
      </c>
      <c r="B9" s="69">
        <f>'13.Facility 2 Grain Processing'!D151</f>
        <v>34013952.294</v>
      </c>
      <c r="C9" s="69">
        <f>'13.Facility 2 Grain Processing'!E151</f>
        <v>43962156.691739991</v>
      </c>
      <c r="D9" s="69">
        <f>'13.Facility 2 Grain Processing'!F151</f>
        <v>53892302.135426998</v>
      </c>
      <c r="E9" s="69">
        <f>'13.Facility 2 Grain Processing'!G151</f>
        <v>64705556.731753357</v>
      </c>
      <c r="F9" s="69">
        <f>'13.Facility 2 Grain Processing'!H151</f>
        <v>76465406.032373771</v>
      </c>
      <c r="G9" s="69">
        <f>'13.Facility 2 Grain Processing'!I151</f>
        <v>89239476.371226862</v>
      </c>
      <c r="H9" s="69">
        <f>'13.Facility 2 Grain Processing'!J151</f>
        <v>103099790.22888434</v>
      </c>
    </row>
    <row r="10" spans="1:8" hidden="1">
      <c r="A10" s="68" t="s">
        <v>489</v>
      </c>
      <c r="B10" s="69">
        <f>'14. Facility 3 Warehouse'!D23</f>
        <v>0</v>
      </c>
      <c r="C10" s="69">
        <f>'14. Facility 3 Warehouse'!E23</f>
        <v>0</v>
      </c>
      <c r="D10" s="69">
        <f>'14. Facility 3 Warehouse'!F23</f>
        <v>0</v>
      </c>
      <c r="E10" s="69">
        <f>'14. Facility 3 Warehouse'!G23</f>
        <v>0</v>
      </c>
      <c r="F10" s="69">
        <f>'14. Facility 3 Warehouse'!H23</f>
        <v>0</v>
      </c>
      <c r="G10" s="69">
        <f>'14. Facility 3 Warehouse'!I23</f>
        <v>0</v>
      </c>
      <c r="H10" s="69">
        <f>'14. Facility 3 Warehouse'!J23</f>
        <v>0</v>
      </c>
    </row>
    <row r="11" spans="1:8" hidden="1">
      <c r="A11" s="68" t="s">
        <v>490</v>
      </c>
      <c r="B11" s="69">
        <f>'15. Facility 4 Custom Hiring'!E39</f>
        <v>0</v>
      </c>
      <c r="C11" s="69">
        <f>'15. Facility 4 Custom Hiring'!F39</f>
        <v>0</v>
      </c>
      <c r="D11" s="69">
        <f>'15. Facility 4 Custom Hiring'!G39</f>
        <v>0</v>
      </c>
      <c r="E11" s="69">
        <f>'15. Facility 4 Custom Hiring'!H39</f>
        <v>0</v>
      </c>
      <c r="F11" s="69">
        <f>'15. Facility 4 Custom Hiring'!I39</f>
        <v>0</v>
      </c>
      <c r="G11" s="69">
        <f>'15. Facility 4 Custom Hiring'!J39</f>
        <v>0</v>
      </c>
      <c r="H11" s="69">
        <f>'15. Facility 4 Custom Hiring'!K39</f>
        <v>0</v>
      </c>
    </row>
    <row r="12" spans="1:8" hidden="1">
      <c r="A12" s="68" t="s">
        <v>488</v>
      </c>
      <c r="B12" s="69">
        <f>'16.Facility 5 Agri Input'!D191</f>
        <v>0</v>
      </c>
      <c r="C12" s="69">
        <f>'16.Facility 5 Agri Input'!E191</f>
        <v>0</v>
      </c>
      <c r="D12" s="69">
        <f>'16.Facility 5 Agri Input'!F191</f>
        <v>0</v>
      </c>
      <c r="E12" s="69">
        <f>'16.Facility 5 Agri Input'!G191</f>
        <v>0</v>
      </c>
      <c r="F12" s="69">
        <f>'16.Facility 5 Agri Input'!H191</f>
        <v>0</v>
      </c>
      <c r="G12" s="69">
        <f>'16.Facility 5 Agri Input'!I191</f>
        <v>0</v>
      </c>
      <c r="H12" s="69">
        <f>'16.Facility 5 Agri Input'!J191</f>
        <v>0</v>
      </c>
    </row>
    <row r="13" spans="1:8">
      <c r="A13" s="68" t="s">
        <v>743</v>
      </c>
      <c r="B13" s="69">
        <f>'17.Facility 6 Horti Processing '!D152</f>
        <v>2933279.9999999995</v>
      </c>
      <c r="C13" s="69">
        <f>'17.Facility 6 Horti Processing '!E152</f>
        <v>3945185.9999999995</v>
      </c>
      <c r="D13" s="69">
        <f>'17.Facility 6 Horti Processing '!F152</f>
        <v>4975935.3</v>
      </c>
      <c r="E13" s="69">
        <f>'17.Facility 6 Horti Processing '!G152</f>
        <v>6099896.5650000004</v>
      </c>
      <c r="F13" s="69">
        <f>'17.Facility 6 Horti Processing '!H152</f>
        <v>7323814.1182500003</v>
      </c>
      <c r="G13" s="69">
        <f>'17.Facility 6 Horti Processing '!I152</f>
        <v>8654873.6854125019</v>
      </c>
      <c r="H13" s="69">
        <f>'17.Facility 6 Horti Processing '!J152</f>
        <v>10100729.673995629</v>
      </c>
    </row>
    <row r="14" spans="1:8">
      <c r="A14" s="68"/>
      <c r="B14" s="69"/>
      <c r="C14" s="69"/>
      <c r="D14" s="69"/>
      <c r="E14" s="69"/>
      <c r="F14" s="69"/>
      <c r="G14" s="69"/>
      <c r="H14" s="69"/>
    </row>
    <row r="15" spans="1:8">
      <c r="A15" s="70" t="s">
        <v>143</v>
      </c>
      <c r="B15" s="84">
        <f>SUM(B8:B14)</f>
        <v>77209146.294</v>
      </c>
      <c r="C15" s="84">
        <f t="shared" ref="C15:H15" si="0">SUM(C8:C14)</f>
        <v>95706525.661740005</v>
      </c>
      <c r="D15" s="84">
        <f t="shared" si="0"/>
        <v>113632406.163927</v>
      </c>
      <c r="E15" s="84">
        <f t="shared" si="0"/>
        <v>133111608.40217838</v>
      </c>
      <c r="F15" s="84">
        <f t="shared" si="0"/>
        <v>154254649.84884506</v>
      </c>
      <c r="G15" s="84">
        <f t="shared" si="0"/>
        <v>177179216.41917297</v>
      </c>
      <c r="H15" s="84">
        <f t="shared" si="0"/>
        <v>202010603.02191156</v>
      </c>
    </row>
    <row r="16" spans="1:8">
      <c r="A16" s="68"/>
      <c r="B16" s="69"/>
      <c r="C16" s="69"/>
      <c r="D16" s="69"/>
      <c r="E16" s="69"/>
      <c r="F16" s="69"/>
      <c r="G16" s="69"/>
      <c r="H16" s="69"/>
    </row>
    <row r="17" spans="1:8">
      <c r="A17" s="70" t="s">
        <v>311</v>
      </c>
      <c r="B17" s="69"/>
      <c r="C17" s="69"/>
      <c r="D17" s="69"/>
      <c r="E17" s="69"/>
      <c r="F17" s="69"/>
      <c r="G17" s="69"/>
      <c r="H17" s="69"/>
    </row>
    <row r="18" spans="1:8">
      <c r="A18" s="68" t="str">
        <f t="shared" ref="A18:A23" si="1">A8</f>
        <v>Facility 1 - Cashew Nut Trading</v>
      </c>
      <c r="B18" s="69">
        <f>'12.Facility 1 - Trading'!D97</f>
        <v>39453194.088</v>
      </c>
      <c r="C18" s="69">
        <f>'12.Facility 1 - Trading'!E97</f>
        <v>46785585.563640006</v>
      </c>
      <c r="D18" s="69">
        <f>'12.Facility 1 - Trading'!F97</f>
        <v>53602379.861184016</v>
      </c>
      <c r="E18" s="69">
        <f>'12.Facility 1 - Trading'!G97</f>
        <v>60983889.624573313</v>
      </c>
      <c r="F18" s="69">
        <f>'12.Facility 1 - Trading'!H97</f>
        <v>68969544.414648592</v>
      </c>
      <c r="G18" s="69">
        <f>'12.Facility 1 - Trading'!I97</f>
        <v>77601304.959669948</v>
      </c>
      <c r="H18" s="69">
        <f>'12.Facility 1 - Trading'!J97</f>
        <v>86923817.698156878</v>
      </c>
    </row>
    <row r="19" spans="1:8">
      <c r="A19" s="68" t="str">
        <f t="shared" si="1"/>
        <v>Facility 2 - Cashew Nut Processing</v>
      </c>
      <c r="B19" s="69">
        <f>'13.Facility 2 Grain Processing'!D172</f>
        <v>30829338.805440001</v>
      </c>
      <c r="C19" s="69">
        <f>'13.Facility 2 Grain Processing'!E172</f>
        <v>39790668.281414405</v>
      </c>
      <c r="D19" s="69">
        <f>'13.Facility 2 Grain Processing'!F172</f>
        <v>48776668.193262234</v>
      </c>
      <c r="E19" s="69">
        <f>'13.Facility 2 Grain Processing'!G172</f>
        <v>58561791.425591342</v>
      </c>
      <c r="F19" s="69">
        <f>'13.Facility 2 Grain Processing'!H172</f>
        <v>69203485.310670167</v>
      </c>
      <c r="G19" s="69">
        <f>'13.Facility 2 Grain Processing'!I172</f>
        <v>80762944.105692953</v>
      </c>
      <c r="H19" s="69">
        <f>'13.Facility 2 Grain Processing'!J172</f>
        <v>93305340.066941291</v>
      </c>
    </row>
    <row r="20" spans="1:8" hidden="1">
      <c r="A20" s="68" t="str">
        <f t="shared" si="1"/>
        <v>Faclitiy 3 - Warehouse</v>
      </c>
      <c r="B20" s="69">
        <f>'14. Facility 3 Warehouse'!D34</f>
        <v>0</v>
      </c>
      <c r="C20" s="69">
        <f>'14. Facility 3 Warehouse'!E34</f>
        <v>0</v>
      </c>
      <c r="D20" s="69">
        <f>'14. Facility 3 Warehouse'!F34</f>
        <v>0</v>
      </c>
      <c r="E20" s="69">
        <f>'14. Facility 3 Warehouse'!G34</f>
        <v>0</v>
      </c>
      <c r="F20" s="69">
        <f>'14. Facility 3 Warehouse'!H34</f>
        <v>0</v>
      </c>
      <c r="G20" s="69">
        <f>'14. Facility 3 Warehouse'!I34</f>
        <v>0</v>
      </c>
      <c r="H20" s="69">
        <f>'14. Facility 3 Warehouse'!J34</f>
        <v>0</v>
      </c>
    </row>
    <row r="21" spans="1:8" hidden="1">
      <c r="A21" s="68" t="str">
        <f t="shared" si="1"/>
        <v xml:space="preserve">Faclitiy 4 - Custom Hiring </v>
      </c>
      <c r="B21" s="69">
        <f>'15. Facility 4 Custom Hiring'!E49</f>
        <v>0</v>
      </c>
      <c r="C21" s="69">
        <f>'15. Facility 4 Custom Hiring'!F49</f>
        <v>0</v>
      </c>
      <c r="D21" s="69">
        <f>'15. Facility 4 Custom Hiring'!G49</f>
        <v>0</v>
      </c>
      <c r="E21" s="69">
        <f>'15. Facility 4 Custom Hiring'!H49</f>
        <v>0</v>
      </c>
      <c r="F21" s="69">
        <f>'15. Facility 4 Custom Hiring'!I49</f>
        <v>0</v>
      </c>
      <c r="G21" s="69">
        <f>'15. Facility 4 Custom Hiring'!J49</f>
        <v>0</v>
      </c>
      <c r="H21" s="69">
        <f>'15. Facility 4 Custom Hiring'!K49</f>
        <v>0</v>
      </c>
    </row>
    <row r="22" spans="1:8" hidden="1">
      <c r="A22" s="68" t="str">
        <f t="shared" si="1"/>
        <v>Faclitiy 5 - Agri Input Centre</v>
      </c>
      <c r="B22" s="69">
        <f>'16.Facility 5 Agri Input'!D262</f>
        <v>0</v>
      </c>
      <c r="C22" s="69">
        <f>'16.Facility 5 Agri Input'!E262</f>
        <v>0</v>
      </c>
      <c r="D22" s="69">
        <f>'16.Facility 5 Agri Input'!F262</f>
        <v>0</v>
      </c>
      <c r="E22" s="69">
        <f>'16.Facility 5 Agri Input'!G262</f>
        <v>0</v>
      </c>
      <c r="F22" s="69">
        <f>'16.Facility 5 Agri Input'!H262</f>
        <v>0</v>
      </c>
      <c r="G22" s="69">
        <f>'16.Facility 5 Agri Input'!I262</f>
        <v>0</v>
      </c>
      <c r="H22" s="69">
        <f>'16.Facility 5 Agri Input'!J262</f>
        <v>0</v>
      </c>
    </row>
    <row r="23" spans="1:8">
      <c r="A23" s="68" t="str">
        <f t="shared" si="1"/>
        <v>Facility 3 - Cashew Apple Processing</v>
      </c>
      <c r="B23" s="69">
        <f>'17.Facility 6 Horti Processing '!D169</f>
        <v>1016773.8134399999</v>
      </c>
      <c r="C23" s="69">
        <f>'17.Facility 6 Horti Processing '!E169</f>
        <v>2329866.3394944002</v>
      </c>
      <c r="D23" s="69">
        <f>'17.Facility 6 Horti Processing '!F169</f>
        <v>2977337.0189102404</v>
      </c>
      <c r="E23" s="69">
        <f>'17.Facility 6 Horti Processing '!G169</f>
        <v>3683730.1004189271</v>
      </c>
      <c r="F23" s="69">
        <f>'17.Facility 6 Horti Processing '!H169</f>
        <v>4453319.1475312104</v>
      </c>
      <c r="G23" s="69">
        <f>'17.Facility 6 Horti Processing '!I169</f>
        <v>5290657.7741036704</v>
      </c>
      <c r="H23" s="69">
        <f>'17.Facility 6 Horti Processing '!J169</f>
        <v>6200596.9654645538</v>
      </c>
    </row>
    <row r="24" spans="1:8">
      <c r="A24" s="68"/>
      <c r="B24" s="69"/>
      <c r="C24" s="69"/>
      <c r="D24" s="69"/>
      <c r="E24" s="69"/>
      <c r="F24" s="69"/>
      <c r="G24" s="69"/>
      <c r="H24" s="69"/>
    </row>
    <row r="25" spans="1:8">
      <c r="A25" s="70" t="s">
        <v>318</v>
      </c>
      <c r="B25" s="84">
        <f>SUM(B18:B24)</f>
        <v>71299306.706880003</v>
      </c>
      <c r="C25" s="84">
        <f t="shared" ref="C25:H25" si="2">SUM(C18:C24)</f>
        <v>88906120.184548825</v>
      </c>
      <c r="D25" s="84">
        <f t="shared" si="2"/>
        <v>105356385.07335649</v>
      </c>
      <c r="E25" s="84">
        <f t="shared" si="2"/>
        <v>123229411.15058358</v>
      </c>
      <c r="F25" s="84">
        <f t="shared" si="2"/>
        <v>142626348.87284997</v>
      </c>
      <c r="G25" s="84">
        <f t="shared" si="2"/>
        <v>163654906.83946657</v>
      </c>
      <c r="H25" s="84">
        <f t="shared" si="2"/>
        <v>186429754.73056272</v>
      </c>
    </row>
    <row r="26" spans="1:8">
      <c r="A26" s="68"/>
      <c r="B26" s="69"/>
      <c r="C26" s="69"/>
      <c r="D26" s="69"/>
      <c r="E26" s="69"/>
      <c r="F26" s="69"/>
      <c r="G26" s="69"/>
      <c r="H26" s="69"/>
    </row>
    <row r="27" spans="1:8">
      <c r="A27" s="70" t="s">
        <v>309</v>
      </c>
      <c r="B27" s="69"/>
      <c r="C27" s="69"/>
      <c r="D27" s="69"/>
      <c r="E27" s="69"/>
      <c r="F27" s="69"/>
      <c r="G27" s="69"/>
      <c r="H27" s="69"/>
    </row>
    <row r="28" spans="1:8">
      <c r="A28" s="68" t="str">
        <f t="shared" ref="A28:A33" si="3">A18</f>
        <v>Facility 1 - Cashew Nut Trading</v>
      </c>
      <c r="B28" s="69">
        <f>'12.Facility 1 - Trading'!D106</f>
        <v>144000</v>
      </c>
      <c r="C28" s="69">
        <f>'12.Facility 1 - Trading'!E106</f>
        <v>151200</v>
      </c>
      <c r="D28" s="69">
        <f>'12.Facility 1 - Trading'!F106</f>
        <v>158760</v>
      </c>
      <c r="E28" s="69">
        <f>'12.Facility 1 - Trading'!G106</f>
        <v>166698.00000000003</v>
      </c>
      <c r="F28" s="69">
        <f>'12.Facility 1 - Trading'!H106</f>
        <v>175032.90000000002</v>
      </c>
      <c r="G28" s="69">
        <f>'12.Facility 1 - Trading'!I106</f>
        <v>183784.54500000004</v>
      </c>
      <c r="H28" s="69">
        <f>'12.Facility 1 - Trading'!J106</f>
        <v>192973.77225000007</v>
      </c>
    </row>
    <row r="29" spans="1:8">
      <c r="A29" s="68" t="str">
        <f t="shared" si="3"/>
        <v>Facility 2 - Cashew Nut Processing</v>
      </c>
      <c r="B29" s="69">
        <f>'13.Facility 2 Grain Processing'!D180</f>
        <v>288000</v>
      </c>
      <c r="C29" s="69">
        <f>'13.Facility 2 Grain Processing'!E180</f>
        <v>302400</v>
      </c>
      <c r="D29" s="69">
        <f>'13.Facility 2 Grain Processing'!F180</f>
        <v>317520</v>
      </c>
      <c r="E29" s="69">
        <f>'13.Facility 2 Grain Processing'!G180</f>
        <v>333396.00000000006</v>
      </c>
      <c r="F29" s="69">
        <f>'13.Facility 2 Grain Processing'!H180</f>
        <v>350065.80000000005</v>
      </c>
      <c r="G29" s="69">
        <f>'13.Facility 2 Grain Processing'!I180</f>
        <v>367569.09000000008</v>
      </c>
      <c r="H29" s="69">
        <f>'13.Facility 2 Grain Processing'!J180</f>
        <v>385947.54450000013</v>
      </c>
    </row>
    <row r="30" spans="1:8" hidden="1">
      <c r="A30" s="68" t="str">
        <f t="shared" si="3"/>
        <v>Faclitiy 3 - Warehouse</v>
      </c>
      <c r="B30" s="69">
        <f>'14. Facility 3 Warehouse'!D43</f>
        <v>0</v>
      </c>
      <c r="C30" s="69">
        <f>'14. Facility 3 Warehouse'!E43</f>
        <v>0</v>
      </c>
      <c r="D30" s="69">
        <f>'14. Facility 3 Warehouse'!F43</f>
        <v>0</v>
      </c>
      <c r="E30" s="69">
        <f>'14. Facility 3 Warehouse'!G43</f>
        <v>0</v>
      </c>
      <c r="F30" s="69">
        <f>'14. Facility 3 Warehouse'!H43</f>
        <v>0</v>
      </c>
      <c r="G30" s="69">
        <f>'14. Facility 3 Warehouse'!I43</f>
        <v>0</v>
      </c>
      <c r="H30" s="69">
        <f>'14. Facility 3 Warehouse'!J43</f>
        <v>0</v>
      </c>
    </row>
    <row r="31" spans="1:8" hidden="1">
      <c r="A31" s="68" t="str">
        <f t="shared" si="3"/>
        <v xml:space="preserve">Faclitiy 4 - Custom Hiring </v>
      </c>
      <c r="B31" s="69">
        <f>'15. Facility 4 Custom Hiring'!E56</f>
        <v>0</v>
      </c>
      <c r="C31" s="69">
        <f>'15. Facility 4 Custom Hiring'!F56</f>
        <v>0</v>
      </c>
      <c r="D31" s="69">
        <f>'15. Facility 4 Custom Hiring'!G56</f>
        <v>0</v>
      </c>
      <c r="E31" s="69">
        <f>'15. Facility 4 Custom Hiring'!H56</f>
        <v>0</v>
      </c>
      <c r="F31" s="69">
        <f>'15. Facility 4 Custom Hiring'!I56</f>
        <v>0</v>
      </c>
      <c r="G31" s="69">
        <f>'15. Facility 4 Custom Hiring'!J56</f>
        <v>0</v>
      </c>
      <c r="H31" s="69">
        <f>'15. Facility 4 Custom Hiring'!K56</f>
        <v>0</v>
      </c>
    </row>
    <row r="32" spans="1:8" hidden="1">
      <c r="A32" s="68" t="str">
        <f t="shared" si="3"/>
        <v>Faclitiy 5 - Agri Input Centre</v>
      </c>
      <c r="B32" s="69">
        <f>'16.Facility 5 Agri Input'!D273</f>
        <v>0</v>
      </c>
      <c r="C32" s="69">
        <f>'16.Facility 5 Agri Input'!E273</f>
        <v>0</v>
      </c>
      <c r="D32" s="69">
        <f>'16.Facility 5 Agri Input'!F273</f>
        <v>0</v>
      </c>
      <c r="E32" s="69">
        <f>'16.Facility 5 Agri Input'!G273</f>
        <v>0</v>
      </c>
      <c r="F32" s="69">
        <f>'16.Facility 5 Agri Input'!H273</f>
        <v>0</v>
      </c>
      <c r="G32" s="69">
        <f>'16.Facility 5 Agri Input'!I273</f>
        <v>0</v>
      </c>
      <c r="H32" s="69">
        <f>'16.Facility 5 Agri Input'!J273</f>
        <v>0</v>
      </c>
    </row>
    <row r="33" spans="1:10">
      <c r="A33" s="68" t="str">
        <f t="shared" si="3"/>
        <v>Facility 3 - Cashew Apple Processing</v>
      </c>
      <c r="B33" s="69">
        <f>'17.Facility 6 Horti Processing '!D177</f>
        <v>288000</v>
      </c>
      <c r="C33" s="69">
        <f>'17.Facility 6 Horti Processing '!E177</f>
        <v>302400</v>
      </c>
      <c r="D33" s="69">
        <f>'17.Facility 6 Horti Processing '!F177</f>
        <v>317520</v>
      </c>
      <c r="E33" s="69">
        <f>'17.Facility 6 Horti Processing '!G177</f>
        <v>333396.00000000006</v>
      </c>
      <c r="F33" s="69">
        <f>'17.Facility 6 Horti Processing '!H177</f>
        <v>350065.80000000005</v>
      </c>
      <c r="G33" s="69">
        <f>'17.Facility 6 Horti Processing '!I177</f>
        <v>367569.09000000008</v>
      </c>
      <c r="H33" s="69">
        <f>'17.Facility 6 Horti Processing '!J177</f>
        <v>385947.54450000013</v>
      </c>
    </row>
    <row r="34" spans="1:10">
      <c r="A34" s="68"/>
      <c r="B34" s="69"/>
      <c r="C34" s="69"/>
      <c r="D34" s="69"/>
      <c r="E34" s="69"/>
      <c r="F34" s="69"/>
      <c r="G34" s="69"/>
      <c r="H34" s="69"/>
    </row>
    <row r="35" spans="1:10">
      <c r="A35" s="68" t="s">
        <v>9</v>
      </c>
      <c r="B35" s="69">
        <f>'3.Other Exp &amp; Taxes'!E23</f>
        <v>1630000</v>
      </c>
      <c r="C35" s="69">
        <f>'3.Other Exp &amp; Taxes'!F23</f>
        <v>1711500</v>
      </c>
      <c r="D35" s="69">
        <f>'3.Other Exp &amp; Taxes'!G23</f>
        <v>1797075</v>
      </c>
      <c r="E35" s="69">
        <f>'3.Other Exp &amp; Taxes'!H23</f>
        <v>1886928.7500000002</v>
      </c>
      <c r="F35" s="69">
        <f>'3.Other Exp &amp; Taxes'!I23</f>
        <v>1981275.1875000002</v>
      </c>
      <c r="G35" s="69">
        <f>'3.Other Exp &amp; Taxes'!J23</f>
        <v>2080338.9468750004</v>
      </c>
      <c r="H35" s="69">
        <f>'3.Other Exp &amp; Taxes'!K23</f>
        <v>2184355.8942187508</v>
      </c>
    </row>
    <row r="36" spans="1:10">
      <c r="A36" s="70" t="s">
        <v>322</v>
      </c>
      <c r="B36" s="84">
        <f t="shared" ref="B36:H36" si="4">SUM(B28:B35)</f>
        <v>2350000</v>
      </c>
      <c r="C36" s="84">
        <f t="shared" si="4"/>
        <v>2467500</v>
      </c>
      <c r="D36" s="84">
        <f t="shared" si="4"/>
        <v>2590875</v>
      </c>
      <c r="E36" s="84">
        <f t="shared" si="4"/>
        <v>2720418.7500000005</v>
      </c>
      <c r="F36" s="84">
        <f t="shared" si="4"/>
        <v>2856439.6875000005</v>
      </c>
      <c r="G36" s="84">
        <f t="shared" si="4"/>
        <v>2999261.6718750005</v>
      </c>
      <c r="H36" s="84">
        <f t="shared" si="4"/>
        <v>3149224.7554687513</v>
      </c>
    </row>
    <row r="37" spans="1:10">
      <c r="A37" s="68"/>
      <c r="B37" s="69"/>
      <c r="C37" s="69"/>
      <c r="D37" s="69"/>
      <c r="E37" s="69"/>
      <c r="F37" s="69"/>
      <c r="G37" s="69"/>
      <c r="H37" s="69"/>
    </row>
    <row r="38" spans="1:10">
      <c r="A38" s="70" t="s">
        <v>327</v>
      </c>
      <c r="B38" s="84">
        <f t="shared" ref="B38:H38" si="5">B25+B36</f>
        <v>73649306.706880003</v>
      </c>
      <c r="C38" s="84">
        <f t="shared" si="5"/>
        <v>91373620.184548825</v>
      </c>
      <c r="D38" s="84">
        <f t="shared" si="5"/>
        <v>107947260.07335649</v>
      </c>
      <c r="E38" s="84">
        <f t="shared" si="5"/>
        <v>125949829.90058358</v>
      </c>
      <c r="F38" s="84">
        <f t="shared" si="5"/>
        <v>145482788.56034997</v>
      </c>
      <c r="G38" s="84">
        <f t="shared" si="5"/>
        <v>166654168.51134157</v>
      </c>
      <c r="H38" s="84">
        <f t="shared" si="5"/>
        <v>189578979.48603147</v>
      </c>
    </row>
    <row r="39" spans="1:10">
      <c r="A39" s="68"/>
      <c r="B39" s="69"/>
      <c r="C39" s="69"/>
      <c r="D39" s="69"/>
      <c r="E39" s="69"/>
      <c r="F39" s="69"/>
      <c r="G39" s="69"/>
      <c r="H39" s="69"/>
    </row>
    <row r="40" spans="1:10" ht="29.25">
      <c r="A40" s="153" t="s">
        <v>137</v>
      </c>
      <c r="B40" s="84">
        <f t="shared" ref="B40:H40" si="6">B15-B38</f>
        <v>3559839.5871199965</v>
      </c>
      <c r="C40" s="84">
        <f t="shared" si="6"/>
        <v>4332905.47719118</v>
      </c>
      <c r="D40" s="84">
        <f t="shared" si="6"/>
        <v>5685146.0905705094</v>
      </c>
      <c r="E40" s="84">
        <f t="shared" si="6"/>
        <v>7161778.5015947968</v>
      </c>
      <c r="F40" s="84">
        <f t="shared" si="6"/>
        <v>8771861.2884950936</v>
      </c>
      <c r="G40" s="84">
        <f t="shared" si="6"/>
        <v>10525047.907831401</v>
      </c>
      <c r="H40" s="84">
        <f t="shared" si="6"/>
        <v>12431623.535880089</v>
      </c>
      <c r="J40" s="49">
        <f>B49+B42+B43</f>
        <v>2366600.2141150832</v>
      </c>
    </row>
    <row r="41" spans="1:10">
      <c r="A41" s="68"/>
      <c r="B41" s="69"/>
      <c r="C41" s="69"/>
      <c r="D41" s="69"/>
      <c r="E41" s="69"/>
      <c r="F41" s="69"/>
      <c r="G41" s="69"/>
      <c r="H41" s="69"/>
      <c r="J41">
        <f>'5.Closing Stock &amp; W Capital'!E56</f>
        <v>952812.19437139714</v>
      </c>
    </row>
    <row r="42" spans="1:10">
      <c r="A42" s="68" t="s">
        <v>17</v>
      </c>
      <c r="B42" s="69">
        <f>'3.Other Exp &amp; Taxes'!C66</f>
        <v>1089128.9889999998</v>
      </c>
      <c r="C42" s="69">
        <f>'3.Other Exp &amp; Taxes'!D66</f>
        <v>1089128.9889999998</v>
      </c>
      <c r="D42" s="69">
        <f>'3.Other Exp &amp; Taxes'!E66</f>
        <v>1089128.9889999998</v>
      </c>
      <c r="E42" s="69">
        <f>'3.Other Exp &amp; Taxes'!F66</f>
        <v>1089128.9889999998</v>
      </c>
      <c r="F42" s="69">
        <f>'3.Other Exp &amp; Taxes'!G66</f>
        <v>1089128.9889999998</v>
      </c>
      <c r="G42" s="69">
        <f>'3.Other Exp &amp; Taxes'!H66</f>
        <v>1089128.9889999998</v>
      </c>
      <c r="H42" s="69">
        <f>'3.Other Exp &amp; Taxes'!I66</f>
        <v>1089128.9889999998</v>
      </c>
      <c r="J42" s="49">
        <f>J40+J41</f>
        <v>3319412.4084864804</v>
      </c>
    </row>
    <row r="43" spans="1:10">
      <c r="A43" s="68" t="s">
        <v>138</v>
      </c>
      <c r="B43" s="69">
        <f>'3.Other Exp &amp; Taxes'!C86</f>
        <v>126000</v>
      </c>
      <c r="C43" s="69">
        <f>'3.Other Exp &amp; Taxes'!D86</f>
        <v>126000</v>
      </c>
      <c r="D43" s="69">
        <f>'3.Other Exp &amp; Taxes'!E86</f>
        <v>126000</v>
      </c>
      <c r="E43" s="69">
        <f>'3.Other Exp &amp; Taxes'!F86</f>
        <v>126000</v>
      </c>
      <c r="F43" s="69">
        <f>'3.Other Exp &amp; Taxes'!G86</f>
        <v>126000</v>
      </c>
      <c r="G43" s="69">
        <f>'3.Other Exp &amp; Taxes'!H86</f>
        <v>0</v>
      </c>
      <c r="H43" s="69">
        <f>'3.Other Exp &amp; Taxes'!I86</f>
        <v>0</v>
      </c>
    </row>
    <row r="44" spans="1:10">
      <c r="A44" s="68"/>
      <c r="B44" s="69"/>
      <c r="C44" s="69"/>
      <c r="D44" s="69"/>
      <c r="E44" s="69"/>
      <c r="F44" s="69"/>
      <c r="G44" s="69"/>
      <c r="H44" s="69"/>
    </row>
    <row r="45" spans="1:10">
      <c r="A45" s="70" t="s">
        <v>139</v>
      </c>
      <c r="B45" s="84">
        <f>B40-B42-B43</f>
        <v>2344710.5981199965</v>
      </c>
      <c r="C45" s="84">
        <f t="shared" ref="C45:H45" si="7">C40-C42-C43</f>
        <v>3117776.4881911799</v>
      </c>
      <c r="D45" s="84">
        <f t="shared" si="7"/>
        <v>4470017.1015705094</v>
      </c>
      <c r="E45" s="84">
        <f t="shared" si="7"/>
        <v>5946649.5125947967</v>
      </c>
      <c r="F45" s="84">
        <f t="shared" si="7"/>
        <v>7556732.2994950935</v>
      </c>
      <c r="G45" s="84">
        <f t="shared" si="7"/>
        <v>9435918.9188314006</v>
      </c>
      <c r="H45" s="84">
        <f t="shared" si="7"/>
        <v>11342494.546880089</v>
      </c>
    </row>
    <row r="46" spans="1:10">
      <c r="A46" s="68"/>
      <c r="B46" s="69"/>
      <c r="C46" s="69"/>
      <c r="D46" s="69"/>
      <c r="E46" s="69"/>
      <c r="F46" s="69"/>
      <c r="G46" s="69"/>
      <c r="H46" s="69"/>
    </row>
    <row r="47" spans="1:10">
      <c r="A47" s="68" t="s">
        <v>24</v>
      </c>
      <c r="B47" s="69">
        <f>'8.Cash Flow '!C27+'8.Cash Flow '!C29</f>
        <v>1193239.3730049129</v>
      </c>
      <c r="C47" s="69">
        <f>'8.Cash Flow '!D27+'8.Cash Flow '!D29</f>
        <v>1326345.6370693285</v>
      </c>
      <c r="D47" s="69">
        <f>'8.Cash Flow '!E27+'8.Cash Flow '!E29</f>
        <v>1325676.5455402834</v>
      </c>
      <c r="E47" s="69">
        <f>'8.Cash Flow '!F27+'8.Cash Flow '!F29</f>
        <v>1320753.5316078612</v>
      </c>
      <c r="F47" s="69">
        <f>'8.Cash Flow '!G27+'8.Cash Flow '!G29</f>
        <v>1310537.5556683266</v>
      </c>
      <c r="G47" s="69">
        <f>'8.Cash Flow '!H27+'8.Cash Flow '!H29</f>
        <v>1293818.2709743439</v>
      </c>
      <c r="H47" s="69">
        <f>'8.Cash Flow '!I27+'8.Cash Flow '!I29</f>
        <v>1269189.5933492889</v>
      </c>
    </row>
    <row r="48" spans="1:10">
      <c r="A48" s="68"/>
      <c r="B48" s="69"/>
      <c r="C48" s="69"/>
      <c r="D48" s="69"/>
      <c r="E48" s="69"/>
      <c r="F48" s="69"/>
      <c r="G48" s="69"/>
      <c r="H48" s="69"/>
    </row>
    <row r="49" spans="1:9">
      <c r="A49" s="68" t="s">
        <v>25</v>
      </c>
      <c r="B49" s="69">
        <f>B45-B47</f>
        <v>1151471.2251150836</v>
      </c>
      <c r="C49" s="69">
        <f t="shared" ref="C49:H49" si="8">C45-C47</f>
        <v>1791430.8511218515</v>
      </c>
      <c r="D49" s="69">
        <f t="shared" si="8"/>
        <v>3144340.5560302259</v>
      </c>
      <c r="E49" s="69">
        <f t="shared" si="8"/>
        <v>4625895.980986936</v>
      </c>
      <c r="F49" s="69">
        <f t="shared" si="8"/>
        <v>6246194.7438267674</v>
      </c>
      <c r="G49" s="69">
        <f t="shared" si="8"/>
        <v>8142100.6478570569</v>
      </c>
      <c r="H49" s="69">
        <f t="shared" si="8"/>
        <v>10073304.9535308</v>
      </c>
    </row>
    <row r="50" spans="1:9">
      <c r="A50" s="68" t="s">
        <v>26</v>
      </c>
      <c r="B50" s="69">
        <f>'3.Other Exp &amp; Taxes'!B99</f>
        <v>-91623.619330078363</v>
      </c>
      <c r="C50" s="69">
        <f>'3.Other Exp &amp; Taxes'!C99</f>
        <v>168101.93468168133</v>
      </c>
      <c r="D50" s="69">
        <f>'3.Other Exp &amp; Taxes'!D99</f>
        <v>598853.11152035883</v>
      </c>
      <c r="E50" s="69">
        <f>'3.Other Exp &amp; Taxes'!E99</f>
        <v>1051344.1185372283</v>
      </c>
      <c r="F50" s="69">
        <f>'3.Other Exp &amp; Taxes'!F99</f>
        <v>1530211.2500244908</v>
      </c>
      <c r="G50" s="69">
        <f>'3.Other Exp &amp; Taxes'!G99</f>
        <v>2072615.3732589365</v>
      </c>
      <c r="H50" s="69">
        <f>'3.Other Exp &amp; Taxes'!H99</f>
        <v>2617339.3653136943</v>
      </c>
    </row>
    <row r="51" spans="1:9">
      <c r="A51" s="70" t="s">
        <v>28</v>
      </c>
      <c r="B51" s="69">
        <f>B49-B50</f>
        <v>1243094.844445162</v>
      </c>
      <c r="C51" s="69">
        <f>C49-C50</f>
        <v>1623328.9164401703</v>
      </c>
      <c r="D51" s="69">
        <f>D49-D50</f>
        <v>2545487.4445098671</v>
      </c>
      <c r="E51" s="69">
        <f>E49-E50</f>
        <v>3574551.8624497075</v>
      </c>
      <c r="F51" s="69">
        <f>F49-F50</f>
        <v>4715983.4938022764</v>
      </c>
      <c r="G51" s="69">
        <f t="shared" ref="G51:H51" si="9">G49-G50</f>
        <v>6069485.2745981207</v>
      </c>
      <c r="H51" s="69">
        <f t="shared" si="9"/>
        <v>7455965.5882171057</v>
      </c>
    </row>
    <row r="52" spans="1:9">
      <c r="A52" s="67"/>
      <c r="B52" s="82"/>
      <c r="C52" s="82"/>
      <c r="D52" s="82"/>
      <c r="E52" s="82"/>
      <c r="F52" s="82"/>
      <c r="G52" s="82"/>
      <c r="H52" s="82"/>
    </row>
    <row r="53" spans="1:9">
      <c r="A53" s="67" t="s">
        <v>491</v>
      </c>
      <c r="B53" s="82">
        <f>B51</f>
        <v>1243094.844445162</v>
      </c>
      <c r="C53" s="82">
        <f t="shared" ref="C53:H53" si="10">B53+C51</f>
        <v>2866423.7608853322</v>
      </c>
      <c r="D53" s="82">
        <f t="shared" si="10"/>
        <v>5411911.2053951994</v>
      </c>
      <c r="E53" s="82">
        <f t="shared" si="10"/>
        <v>8986463.0678449068</v>
      </c>
      <c r="F53" s="82">
        <f t="shared" si="10"/>
        <v>13702446.561647184</v>
      </c>
      <c r="G53" s="82">
        <f t="shared" si="10"/>
        <v>19771931.836245306</v>
      </c>
      <c r="H53" s="82">
        <f t="shared" si="10"/>
        <v>27227897.424462412</v>
      </c>
    </row>
    <row r="56" spans="1:9" ht="32.65" customHeight="1">
      <c r="A56" s="409" t="s">
        <v>402</v>
      </c>
      <c r="B56" s="409"/>
      <c r="C56" s="409"/>
      <c r="D56" s="409"/>
      <c r="E56" s="409"/>
      <c r="F56" s="409"/>
      <c r="G56" s="409"/>
      <c r="H56" s="409"/>
      <c r="I56" s="409"/>
    </row>
    <row r="58" spans="1:9">
      <c r="A58" s="203"/>
    </row>
  </sheetData>
  <mergeCells count="2">
    <mergeCell ref="A2:H2"/>
    <mergeCell ref="A56:I56"/>
  </mergeCells>
  <pageMargins left="0.7" right="0.7" top="0.75" bottom="0.75" header="0.3" footer="0.3"/>
  <pageSetup paperSize="9" scale="66" orientation="portrait" r:id="rId1"/>
</worksheet>
</file>

<file path=xl/worksheets/sheet8.xml><?xml version="1.0" encoding="utf-8"?>
<worksheet xmlns="http://schemas.openxmlformats.org/spreadsheetml/2006/main" xmlns:r="http://schemas.openxmlformats.org/officeDocument/2006/relationships">
  <dimension ref="A1:R50"/>
  <sheetViews>
    <sheetView view="pageBreakPreview" zoomScale="80" zoomScaleSheetLayoutView="80" workbookViewId="0">
      <selection activeCell="J17" sqref="J17"/>
    </sheetView>
  </sheetViews>
  <sheetFormatPr defaultRowHeight="15"/>
  <cols>
    <col min="1" max="1" width="37.28515625" style="42" customWidth="1"/>
    <col min="2" max="2" width="13.85546875" style="42" customWidth="1"/>
    <col min="3" max="3" width="12.42578125" style="42" bestFit="1" customWidth="1"/>
    <col min="4" max="6" width="13.5703125" style="42" bestFit="1" customWidth="1"/>
    <col min="7" max="8" width="12.42578125" style="42" bestFit="1" customWidth="1"/>
    <col min="9" max="9" width="9.28515625" style="42"/>
    <col min="10" max="10" width="32.7109375" style="42" bestFit="1" customWidth="1"/>
    <col min="11" max="16" width="8.7109375" style="42" bestFit="1"/>
    <col min="17" max="17" width="10.28515625" style="42" bestFit="1" customWidth="1"/>
    <col min="18" max="256" width="9.28515625" style="42"/>
    <col min="257" max="257" width="37.28515625" style="42" customWidth="1"/>
    <col min="258" max="258" width="18.42578125" style="42" bestFit="1" customWidth="1"/>
    <col min="259" max="262" width="12.42578125" style="42" bestFit="1" customWidth="1"/>
    <col min="263" max="263" width="11.7109375" style="42" bestFit="1" customWidth="1"/>
    <col min="264" max="512" width="9.28515625" style="42"/>
    <col min="513" max="513" width="37.28515625" style="42" customWidth="1"/>
    <col min="514" max="514" width="18.42578125" style="42" bestFit="1" customWidth="1"/>
    <col min="515" max="518" width="12.42578125" style="42" bestFit="1" customWidth="1"/>
    <col min="519" max="519" width="11.7109375" style="42" bestFit="1" customWidth="1"/>
    <col min="520" max="768" width="9.28515625" style="42"/>
    <col min="769" max="769" width="37.28515625" style="42" customWidth="1"/>
    <col min="770" max="770" width="18.42578125" style="42" bestFit="1" customWidth="1"/>
    <col min="771" max="774" width="12.42578125" style="42" bestFit="1" customWidth="1"/>
    <col min="775" max="775" width="11.7109375" style="42" bestFit="1" customWidth="1"/>
    <col min="776" max="1024" width="9.28515625" style="42"/>
    <col min="1025" max="1025" width="37.28515625" style="42" customWidth="1"/>
    <col min="1026" max="1026" width="18.42578125" style="42" bestFit="1" customWidth="1"/>
    <col min="1027" max="1030" width="12.42578125" style="42" bestFit="1" customWidth="1"/>
    <col min="1031" max="1031" width="11.7109375" style="42" bestFit="1" customWidth="1"/>
    <col min="1032" max="1280" width="9.28515625" style="42"/>
    <col min="1281" max="1281" width="37.28515625" style="42" customWidth="1"/>
    <col min="1282" max="1282" width="18.42578125" style="42" bestFit="1" customWidth="1"/>
    <col min="1283" max="1286" width="12.42578125" style="42" bestFit="1" customWidth="1"/>
    <col min="1287" max="1287" width="11.7109375" style="42" bestFit="1" customWidth="1"/>
    <col min="1288" max="1536" width="9.28515625" style="42"/>
    <col min="1537" max="1537" width="37.28515625" style="42" customWidth="1"/>
    <col min="1538" max="1538" width="18.42578125" style="42" bestFit="1" customWidth="1"/>
    <col min="1539" max="1542" width="12.42578125" style="42" bestFit="1" customWidth="1"/>
    <col min="1543" max="1543" width="11.7109375" style="42" bestFit="1" customWidth="1"/>
    <col min="1544" max="1792" width="9.28515625" style="42"/>
    <col min="1793" max="1793" width="37.28515625" style="42" customWidth="1"/>
    <col min="1794" max="1794" width="18.42578125" style="42" bestFit="1" customWidth="1"/>
    <col min="1795" max="1798" width="12.42578125" style="42" bestFit="1" customWidth="1"/>
    <col min="1799" max="1799" width="11.7109375" style="42" bestFit="1" customWidth="1"/>
    <col min="1800" max="2048" width="9.28515625" style="42"/>
    <col min="2049" max="2049" width="37.28515625" style="42" customWidth="1"/>
    <col min="2050" max="2050" width="18.42578125" style="42" bestFit="1" customWidth="1"/>
    <col min="2051" max="2054" width="12.42578125" style="42" bestFit="1" customWidth="1"/>
    <col min="2055" max="2055" width="11.7109375" style="42" bestFit="1" customWidth="1"/>
    <col min="2056" max="2304" width="9.28515625" style="42"/>
    <col min="2305" max="2305" width="37.28515625" style="42" customWidth="1"/>
    <col min="2306" max="2306" width="18.42578125" style="42" bestFit="1" customWidth="1"/>
    <col min="2307" max="2310" width="12.42578125" style="42" bestFit="1" customWidth="1"/>
    <col min="2311" max="2311" width="11.7109375" style="42" bestFit="1" customWidth="1"/>
    <col min="2312" max="2560" width="9.28515625" style="42"/>
    <col min="2561" max="2561" width="37.28515625" style="42" customWidth="1"/>
    <col min="2562" max="2562" width="18.42578125" style="42" bestFit="1" customWidth="1"/>
    <col min="2563" max="2566" width="12.42578125" style="42" bestFit="1" customWidth="1"/>
    <col min="2567" max="2567" width="11.7109375" style="42" bestFit="1" customWidth="1"/>
    <col min="2568" max="2816" width="9.28515625" style="42"/>
    <col min="2817" max="2817" width="37.28515625" style="42" customWidth="1"/>
    <col min="2818" max="2818" width="18.42578125" style="42" bestFit="1" customWidth="1"/>
    <col min="2819" max="2822" width="12.42578125" style="42" bestFit="1" customWidth="1"/>
    <col min="2823" max="2823" width="11.7109375" style="42" bestFit="1" customWidth="1"/>
    <col min="2824" max="3072" width="9.28515625" style="42"/>
    <col min="3073" max="3073" width="37.28515625" style="42" customWidth="1"/>
    <col min="3074" max="3074" width="18.42578125" style="42" bestFit="1" customWidth="1"/>
    <col min="3075" max="3078" width="12.42578125" style="42" bestFit="1" customWidth="1"/>
    <col min="3079" max="3079" width="11.7109375" style="42" bestFit="1" customWidth="1"/>
    <col min="3080" max="3328" width="9.28515625" style="42"/>
    <col min="3329" max="3329" width="37.28515625" style="42" customWidth="1"/>
    <col min="3330" max="3330" width="18.42578125" style="42" bestFit="1" customWidth="1"/>
    <col min="3331" max="3334" width="12.42578125" style="42" bestFit="1" customWidth="1"/>
    <col min="3335" max="3335" width="11.7109375" style="42" bestFit="1" customWidth="1"/>
    <col min="3336" max="3584" width="9.28515625" style="42"/>
    <col min="3585" max="3585" width="37.28515625" style="42" customWidth="1"/>
    <col min="3586" max="3586" width="18.42578125" style="42" bestFit="1" customWidth="1"/>
    <col min="3587" max="3590" width="12.42578125" style="42" bestFit="1" customWidth="1"/>
    <col min="3591" max="3591" width="11.7109375" style="42" bestFit="1" customWidth="1"/>
    <col min="3592" max="3840" width="9.28515625" style="42"/>
    <col min="3841" max="3841" width="37.28515625" style="42" customWidth="1"/>
    <col min="3842" max="3842" width="18.42578125" style="42" bestFit="1" customWidth="1"/>
    <col min="3843" max="3846" width="12.42578125" style="42" bestFit="1" customWidth="1"/>
    <col min="3847" max="3847" width="11.7109375" style="42" bestFit="1" customWidth="1"/>
    <col min="3848" max="4096" width="9.28515625" style="42"/>
    <col min="4097" max="4097" width="37.28515625" style="42" customWidth="1"/>
    <col min="4098" max="4098" width="18.42578125" style="42" bestFit="1" customWidth="1"/>
    <col min="4099" max="4102" width="12.42578125" style="42" bestFit="1" customWidth="1"/>
    <col min="4103" max="4103" width="11.7109375" style="42" bestFit="1" customWidth="1"/>
    <col min="4104" max="4352" width="9.28515625" style="42"/>
    <col min="4353" max="4353" width="37.28515625" style="42" customWidth="1"/>
    <col min="4354" max="4354" width="18.42578125" style="42" bestFit="1" customWidth="1"/>
    <col min="4355" max="4358" width="12.42578125" style="42" bestFit="1" customWidth="1"/>
    <col min="4359" max="4359" width="11.7109375" style="42" bestFit="1" customWidth="1"/>
    <col min="4360" max="4608" width="9.28515625" style="42"/>
    <col min="4609" max="4609" width="37.28515625" style="42" customWidth="1"/>
    <col min="4610" max="4610" width="18.42578125" style="42" bestFit="1" customWidth="1"/>
    <col min="4611" max="4614" width="12.42578125" style="42" bestFit="1" customWidth="1"/>
    <col min="4615" max="4615" width="11.7109375" style="42" bestFit="1" customWidth="1"/>
    <col min="4616" max="4864" width="9.28515625" style="42"/>
    <col min="4865" max="4865" width="37.28515625" style="42" customWidth="1"/>
    <col min="4866" max="4866" width="18.42578125" style="42" bestFit="1" customWidth="1"/>
    <col min="4867" max="4870" width="12.42578125" style="42" bestFit="1" customWidth="1"/>
    <col min="4871" max="4871" width="11.7109375" style="42" bestFit="1" customWidth="1"/>
    <col min="4872" max="5120" width="9.28515625" style="42"/>
    <col min="5121" max="5121" width="37.28515625" style="42" customWidth="1"/>
    <col min="5122" max="5122" width="18.42578125" style="42" bestFit="1" customWidth="1"/>
    <col min="5123" max="5126" width="12.42578125" style="42" bestFit="1" customWidth="1"/>
    <col min="5127" max="5127" width="11.7109375" style="42" bestFit="1" customWidth="1"/>
    <col min="5128" max="5376" width="9.28515625" style="42"/>
    <col min="5377" max="5377" width="37.28515625" style="42" customWidth="1"/>
    <col min="5378" max="5378" width="18.42578125" style="42" bestFit="1" customWidth="1"/>
    <col min="5379" max="5382" width="12.42578125" style="42" bestFit="1" customWidth="1"/>
    <col min="5383" max="5383" width="11.7109375" style="42" bestFit="1" customWidth="1"/>
    <col min="5384" max="5632" width="9.28515625" style="42"/>
    <col min="5633" max="5633" width="37.28515625" style="42" customWidth="1"/>
    <col min="5634" max="5634" width="18.42578125" style="42" bestFit="1" customWidth="1"/>
    <col min="5635" max="5638" width="12.42578125" style="42" bestFit="1" customWidth="1"/>
    <col min="5639" max="5639" width="11.7109375" style="42" bestFit="1" customWidth="1"/>
    <col min="5640" max="5888" width="9.28515625" style="42"/>
    <col min="5889" max="5889" width="37.28515625" style="42" customWidth="1"/>
    <col min="5890" max="5890" width="18.42578125" style="42" bestFit="1" customWidth="1"/>
    <col min="5891" max="5894" width="12.42578125" style="42" bestFit="1" customWidth="1"/>
    <col min="5895" max="5895" width="11.7109375" style="42" bestFit="1" customWidth="1"/>
    <col min="5896" max="6144" width="9.28515625" style="42"/>
    <col min="6145" max="6145" width="37.28515625" style="42" customWidth="1"/>
    <col min="6146" max="6146" width="18.42578125" style="42" bestFit="1" customWidth="1"/>
    <col min="6147" max="6150" width="12.42578125" style="42" bestFit="1" customWidth="1"/>
    <col min="6151" max="6151" width="11.7109375" style="42" bestFit="1" customWidth="1"/>
    <col min="6152" max="6400" width="9.28515625" style="42"/>
    <col min="6401" max="6401" width="37.28515625" style="42" customWidth="1"/>
    <col min="6402" max="6402" width="18.42578125" style="42" bestFit="1" customWidth="1"/>
    <col min="6403" max="6406" width="12.42578125" style="42" bestFit="1" customWidth="1"/>
    <col min="6407" max="6407" width="11.7109375" style="42" bestFit="1" customWidth="1"/>
    <col min="6408" max="6656" width="9.28515625" style="42"/>
    <col min="6657" max="6657" width="37.28515625" style="42" customWidth="1"/>
    <col min="6658" max="6658" width="18.42578125" style="42" bestFit="1" customWidth="1"/>
    <col min="6659" max="6662" width="12.42578125" style="42" bestFit="1" customWidth="1"/>
    <col min="6663" max="6663" width="11.7109375" style="42" bestFit="1" customWidth="1"/>
    <col min="6664" max="6912" width="9.28515625" style="42"/>
    <col min="6913" max="6913" width="37.28515625" style="42" customWidth="1"/>
    <col min="6914" max="6914" width="18.42578125" style="42" bestFit="1" customWidth="1"/>
    <col min="6915" max="6918" width="12.42578125" style="42" bestFit="1" customWidth="1"/>
    <col min="6919" max="6919" width="11.7109375" style="42" bestFit="1" customWidth="1"/>
    <col min="6920" max="7168" width="9.28515625" style="42"/>
    <col min="7169" max="7169" width="37.28515625" style="42" customWidth="1"/>
    <col min="7170" max="7170" width="18.42578125" style="42" bestFit="1" customWidth="1"/>
    <col min="7171" max="7174" width="12.42578125" style="42" bestFit="1" customWidth="1"/>
    <col min="7175" max="7175" width="11.7109375" style="42" bestFit="1" customWidth="1"/>
    <col min="7176" max="7424" width="9.28515625" style="42"/>
    <col min="7425" max="7425" width="37.28515625" style="42" customWidth="1"/>
    <col min="7426" max="7426" width="18.42578125" style="42" bestFit="1" customWidth="1"/>
    <col min="7427" max="7430" width="12.42578125" style="42" bestFit="1" customWidth="1"/>
    <col min="7431" max="7431" width="11.7109375" style="42" bestFit="1" customWidth="1"/>
    <col min="7432" max="7680" width="9.28515625" style="42"/>
    <col min="7681" max="7681" width="37.28515625" style="42" customWidth="1"/>
    <col min="7682" max="7682" width="18.42578125" style="42" bestFit="1" customWidth="1"/>
    <col min="7683" max="7686" width="12.42578125" style="42" bestFit="1" customWidth="1"/>
    <col min="7687" max="7687" width="11.7109375" style="42" bestFit="1" customWidth="1"/>
    <col min="7688" max="7936" width="9.28515625" style="42"/>
    <col min="7937" max="7937" width="37.28515625" style="42" customWidth="1"/>
    <col min="7938" max="7938" width="18.42578125" style="42" bestFit="1" customWidth="1"/>
    <col min="7939" max="7942" width="12.42578125" style="42" bestFit="1" customWidth="1"/>
    <col min="7943" max="7943" width="11.7109375" style="42" bestFit="1" customWidth="1"/>
    <col min="7944" max="8192" width="9.28515625" style="42"/>
    <col min="8193" max="8193" width="37.28515625" style="42" customWidth="1"/>
    <col min="8194" max="8194" width="18.42578125" style="42" bestFit="1" customWidth="1"/>
    <col min="8195" max="8198" width="12.42578125" style="42" bestFit="1" customWidth="1"/>
    <col min="8199" max="8199" width="11.7109375" style="42" bestFit="1" customWidth="1"/>
    <col min="8200" max="8448" width="9.28515625" style="42"/>
    <col min="8449" max="8449" width="37.28515625" style="42" customWidth="1"/>
    <col min="8450" max="8450" width="18.42578125" style="42" bestFit="1" customWidth="1"/>
    <col min="8451" max="8454" width="12.42578125" style="42" bestFit="1" customWidth="1"/>
    <col min="8455" max="8455" width="11.7109375" style="42" bestFit="1" customWidth="1"/>
    <col min="8456" max="8704" width="9.28515625" style="42"/>
    <col min="8705" max="8705" width="37.28515625" style="42" customWidth="1"/>
    <col min="8706" max="8706" width="18.42578125" style="42" bestFit="1" customWidth="1"/>
    <col min="8707" max="8710" width="12.42578125" style="42" bestFit="1" customWidth="1"/>
    <col min="8711" max="8711" width="11.7109375" style="42" bestFit="1" customWidth="1"/>
    <col min="8712" max="8960" width="9.28515625" style="42"/>
    <col min="8961" max="8961" width="37.28515625" style="42" customWidth="1"/>
    <col min="8962" max="8962" width="18.42578125" style="42" bestFit="1" customWidth="1"/>
    <col min="8963" max="8966" width="12.42578125" style="42" bestFit="1" customWidth="1"/>
    <col min="8967" max="8967" width="11.7109375" style="42" bestFit="1" customWidth="1"/>
    <col min="8968" max="9216" width="9.28515625" style="42"/>
    <col min="9217" max="9217" width="37.28515625" style="42" customWidth="1"/>
    <col min="9218" max="9218" width="18.42578125" style="42" bestFit="1" customWidth="1"/>
    <col min="9219" max="9222" width="12.42578125" style="42" bestFit="1" customWidth="1"/>
    <col min="9223" max="9223" width="11.7109375" style="42" bestFit="1" customWidth="1"/>
    <col min="9224" max="9472" width="9.28515625" style="42"/>
    <col min="9473" max="9473" width="37.28515625" style="42" customWidth="1"/>
    <col min="9474" max="9474" width="18.42578125" style="42" bestFit="1" customWidth="1"/>
    <col min="9475" max="9478" width="12.42578125" style="42" bestFit="1" customWidth="1"/>
    <col min="9479" max="9479" width="11.7109375" style="42" bestFit="1" customWidth="1"/>
    <col min="9480" max="9728" width="9.28515625" style="42"/>
    <col min="9729" max="9729" width="37.28515625" style="42" customWidth="1"/>
    <col min="9730" max="9730" width="18.42578125" style="42" bestFit="1" customWidth="1"/>
    <col min="9731" max="9734" width="12.42578125" style="42" bestFit="1" customWidth="1"/>
    <col min="9735" max="9735" width="11.7109375" style="42" bestFit="1" customWidth="1"/>
    <col min="9736" max="9984" width="9.28515625" style="42"/>
    <col min="9985" max="9985" width="37.28515625" style="42" customWidth="1"/>
    <col min="9986" max="9986" width="18.42578125" style="42" bestFit="1" customWidth="1"/>
    <col min="9987" max="9990" width="12.42578125" style="42" bestFit="1" customWidth="1"/>
    <col min="9991" max="9991" width="11.7109375" style="42" bestFit="1" customWidth="1"/>
    <col min="9992" max="10240" width="9.28515625" style="42"/>
    <col min="10241" max="10241" width="37.28515625" style="42" customWidth="1"/>
    <col min="10242" max="10242" width="18.42578125" style="42" bestFit="1" customWidth="1"/>
    <col min="10243" max="10246" width="12.42578125" style="42" bestFit="1" customWidth="1"/>
    <col min="10247" max="10247" width="11.7109375" style="42" bestFit="1" customWidth="1"/>
    <col min="10248" max="10496" width="9.28515625" style="42"/>
    <col min="10497" max="10497" width="37.28515625" style="42" customWidth="1"/>
    <col min="10498" max="10498" width="18.42578125" style="42" bestFit="1" customWidth="1"/>
    <col min="10499" max="10502" width="12.42578125" style="42" bestFit="1" customWidth="1"/>
    <col min="10503" max="10503" width="11.7109375" style="42" bestFit="1" customWidth="1"/>
    <col min="10504" max="10752" width="9.28515625" style="42"/>
    <col min="10753" max="10753" width="37.28515625" style="42" customWidth="1"/>
    <col min="10754" max="10754" width="18.42578125" style="42" bestFit="1" customWidth="1"/>
    <col min="10755" max="10758" width="12.42578125" style="42" bestFit="1" customWidth="1"/>
    <col min="10759" max="10759" width="11.7109375" style="42" bestFit="1" customWidth="1"/>
    <col min="10760" max="11008" width="9.28515625" style="42"/>
    <col min="11009" max="11009" width="37.28515625" style="42" customWidth="1"/>
    <col min="11010" max="11010" width="18.42578125" style="42" bestFit="1" customWidth="1"/>
    <col min="11011" max="11014" width="12.42578125" style="42" bestFit="1" customWidth="1"/>
    <col min="11015" max="11015" width="11.7109375" style="42" bestFit="1" customWidth="1"/>
    <col min="11016" max="11264" width="9.28515625" style="42"/>
    <col min="11265" max="11265" width="37.28515625" style="42" customWidth="1"/>
    <col min="11266" max="11266" width="18.42578125" style="42" bestFit="1" customWidth="1"/>
    <col min="11267" max="11270" width="12.42578125" style="42" bestFit="1" customWidth="1"/>
    <col min="11271" max="11271" width="11.7109375" style="42" bestFit="1" customWidth="1"/>
    <col min="11272" max="11520" width="9.28515625" style="42"/>
    <col min="11521" max="11521" width="37.28515625" style="42" customWidth="1"/>
    <col min="11522" max="11522" width="18.42578125" style="42" bestFit="1" customWidth="1"/>
    <col min="11523" max="11526" width="12.42578125" style="42" bestFit="1" customWidth="1"/>
    <col min="11527" max="11527" width="11.7109375" style="42" bestFit="1" customWidth="1"/>
    <col min="11528" max="11776" width="9.28515625" style="42"/>
    <col min="11777" max="11777" width="37.28515625" style="42" customWidth="1"/>
    <col min="11778" max="11778" width="18.42578125" style="42" bestFit="1" customWidth="1"/>
    <col min="11779" max="11782" width="12.42578125" style="42" bestFit="1" customWidth="1"/>
    <col min="11783" max="11783" width="11.7109375" style="42" bestFit="1" customWidth="1"/>
    <col min="11784" max="12032" width="9.28515625" style="42"/>
    <col min="12033" max="12033" width="37.28515625" style="42" customWidth="1"/>
    <col min="12034" max="12034" width="18.42578125" style="42" bestFit="1" customWidth="1"/>
    <col min="12035" max="12038" width="12.42578125" style="42" bestFit="1" customWidth="1"/>
    <col min="12039" max="12039" width="11.7109375" style="42" bestFit="1" customWidth="1"/>
    <col min="12040" max="12288" width="9.28515625" style="42"/>
    <col min="12289" max="12289" width="37.28515625" style="42" customWidth="1"/>
    <col min="12290" max="12290" width="18.42578125" style="42" bestFit="1" customWidth="1"/>
    <col min="12291" max="12294" width="12.42578125" style="42" bestFit="1" customWidth="1"/>
    <col min="12295" max="12295" width="11.7109375" style="42" bestFit="1" customWidth="1"/>
    <col min="12296" max="12544" width="9.28515625" style="42"/>
    <col min="12545" max="12545" width="37.28515625" style="42" customWidth="1"/>
    <col min="12546" max="12546" width="18.42578125" style="42" bestFit="1" customWidth="1"/>
    <col min="12547" max="12550" width="12.42578125" style="42" bestFit="1" customWidth="1"/>
    <col min="12551" max="12551" width="11.7109375" style="42" bestFit="1" customWidth="1"/>
    <col min="12552" max="12800" width="9.28515625" style="42"/>
    <col min="12801" max="12801" width="37.28515625" style="42" customWidth="1"/>
    <col min="12802" max="12802" width="18.42578125" style="42" bestFit="1" customWidth="1"/>
    <col min="12803" max="12806" width="12.42578125" style="42" bestFit="1" customWidth="1"/>
    <col min="12807" max="12807" width="11.7109375" style="42" bestFit="1" customWidth="1"/>
    <col min="12808" max="13056" width="9.28515625" style="42"/>
    <col min="13057" max="13057" width="37.28515625" style="42" customWidth="1"/>
    <col min="13058" max="13058" width="18.42578125" style="42" bestFit="1" customWidth="1"/>
    <col min="13059" max="13062" width="12.42578125" style="42" bestFit="1" customWidth="1"/>
    <col min="13063" max="13063" width="11.7109375" style="42" bestFit="1" customWidth="1"/>
    <col min="13064" max="13312" width="9.28515625" style="42"/>
    <col min="13313" max="13313" width="37.28515625" style="42" customWidth="1"/>
    <col min="13314" max="13314" width="18.42578125" style="42" bestFit="1" customWidth="1"/>
    <col min="13315" max="13318" width="12.42578125" style="42" bestFit="1" customWidth="1"/>
    <col min="13319" max="13319" width="11.7109375" style="42" bestFit="1" customWidth="1"/>
    <col min="13320" max="13568" width="9.28515625" style="42"/>
    <col min="13569" max="13569" width="37.28515625" style="42" customWidth="1"/>
    <col min="13570" max="13570" width="18.42578125" style="42" bestFit="1" customWidth="1"/>
    <col min="13571" max="13574" width="12.42578125" style="42" bestFit="1" customWidth="1"/>
    <col min="13575" max="13575" width="11.7109375" style="42" bestFit="1" customWidth="1"/>
    <col min="13576" max="13824" width="9.28515625" style="42"/>
    <col min="13825" max="13825" width="37.28515625" style="42" customWidth="1"/>
    <col min="13826" max="13826" width="18.42578125" style="42" bestFit="1" customWidth="1"/>
    <col min="13827" max="13830" width="12.42578125" style="42" bestFit="1" customWidth="1"/>
    <col min="13831" max="13831" width="11.7109375" style="42" bestFit="1" customWidth="1"/>
    <col min="13832" max="14080" width="9.28515625" style="42"/>
    <col min="14081" max="14081" width="37.28515625" style="42" customWidth="1"/>
    <col min="14082" max="14082" width="18.42578125" style="42" bestFit="1" customWidth="1"/>
    <col min="14083" max="14086" width="12.42578125" style="42" bestFit="1" customWidth="1"/>
    <col min="14087" max="14087" width="11.7109375" style="42" bestFit="1" customWidth="1"/>
    <col min="14088" max="14336" width="9.28515625" style="42"/>
    <col min="14337" max="14337" width="37.28515625" style="42" customWidth="1"/>
    <col min="14338" max="14338" width="18.42578125" style="42" bestFit="1" customWidth="1"/>
    <col min="14339" max="14342" width="12.42578125" style="42" bestFit="1" customWidth="1"/>
    <col min="14343" max="14343" width="11.7109375" style="42" bestFit="1" customWidth="1"/>
    <col min="14344" max="14592" width="9.28515625" style="42"/>
    <col min="14593" max="14593" width="37.28515625" style="42" customWidth="1"/>
    <col min="14594" max="14594" width="18.42578125" style="42" bestFit="1" customWidth="1"/>
    <col min="14595" max="14598" width="12.42578125" style="42" bestFit="1" customWidth="1"/>
    <col min="14599" max="14599" width="11.7109375" style="42" bestFit="1" customWidth="1"/>
    <col min="14600" max="14848" width="9.28515625" style="42"/>
    <col min="14849" max="14849" width="37.28515625" style="42" customWidth="1"/>
    <col min="14850" max="14850" width="18.42578125" style="42" bestFit="1" customWidth="1"/>
    <col min="14851" max="14854" width="12.42578125" style="42" bestFit="1" customWidth="1"/>
    <col min="14855" max="14855" width="11.7109375" style="42" bestFit="1" customWidth="1"/>
    <col min="14856" max="15104" width="9.28515625" style="42"/>
    <col min="15105" max="15105" width="37.28515625" style="42" customWidth="1"/>
    <col min="15106" max="15106" width="18.42578125" style="42" bestFit="1" customWidth="1"/>
    <col min="15107" max="15110" width="12.42578125" style="42" bestFit="1" customWidth="1"/>
    <col min="15111" max="15111" width="11.7109375" style="42" bestFit="1" customWidth="1"/>
    <col min="15112" max="15360" width="9.28515625" style="42"/>
    <col min="15361" max="15361" width="37.28515625" style="42" customWidth="1"/>
    <col min="15362" max="15362" width="18.42578125" style="42" bestFit="1" customWidth="1"/>
    <col min="15363" max="15366" width="12.42578125" style="42" bestFit="1" customWidth="1"/>
    <col min="15367" max="15367" width="11.7109375" style="42" bestFit="1" customWidth="1"/>
    <col min="15368" max="15616" width="9.28515625" style="42"/>
    <col min="15617" max="15617" width="37.28515625" style="42" customWidth="1"/>
    <col min="15618" max="15618" width="18.42578125" style="42" bestFit="1" customWidth="1"/>
    <col min="15619" max="15622" width="12.42578125" style="42" bestFit="1" customWidth="1"/>
    <col min="15623" max="15623" width="11.7109375" style="42" bestFit="1" customWidth="1"/>
    <col min="15624" max="15872" width="9.28515625" style="42"/>
    <col min="15873" max="15873" width="37.28515625" style="42" customWidth="1"/>
    <col min="15874" max="15874" width="18.42578125" style="42" bestFit="1" customWidth="1"/>
    <col min="15875" max="15878" width="12.42578125" style="42" bestFit="1" customWidth="1"/>
    <col min="15879" max="15879" width="11.7109375" style="42" bestFit="1" customWidth="1"/>
    <col min="15880" max="16128" width="9.28515625" style="42"/>
    <col min="16129" max="16129" width="37.28515625" style="42" customWidth="1"/>
    <col min="16130" max="16130" width="18.42578125" style="42" bestFit="1" customWidth="1"/>
    <col min="16131" max="16134" width="12.42578125" style="42" bestFit="1" customWidth="1"/>
    <col min="16135" max="16135" width="11.7109375" style="42" bestFit="1" customWidth="1"/>
    <col min="16136" max="16384" width="9.28515625" style="42"/>
  </cols>
  <sheetData>
    <row r="1" spans="1:18">
      <c r="A1" s="393"/>
      <c r="B1" s="393"/>
      <c r="C1" s="393"/>
      <c r="D1" s="393"/>
      <c r="E1" s="393"/>
      <c r="F1" s="393"/>
    </row>
    <row r="2" spans="1:18" ht="18.75">
      <c r="A2" s="410" t="s">
        <v>535</v>
      </c>
      <c r="B2" s="381"/>
      <c r="C2" s="381"/>
      <c r="D2" s="381"/>
      <c r="E2" s="381"/>
      <c r="F2" s="381"/>
      <c r="G2" s="381"/>
      <c r="H2" s="381"/>
      <c r="I2" s="5"/>
    </row>
    <row r="3" spans="1:18">
      <c r="A3" s="62"/>
      <c r="B3" s="43"/>
      <c r="C3" s="43"/>
      <c r="D3" s="43"/>
      <c r="E3" s="43"/>
      <c r="F3" s="43"/>
    </row>
    <row r="4" spans="1:18">
      <c r="A4" s="320" t="s">
        <v>0</v>
      </c>
      <c r="B4" s="321" t="s">
        <v>2</v>
      </c>
      <c r="C4" s="321" t="s">
        <v>3</v>
      </c>
      <c r="D4" s="321" t="s">
        <v>4</v>
      </c>
      <c r="E4" s="321" t="s">
        <v>5</v>
      </c>
      <c r="F4" s="321" t="s">
        <v>6</v>
      </c>
      <c r="G4" s="316" t="s">
        <v>169</v>
      </c>
      <c r="H4" s="316" t="s">
        <v>168</v>
      </c>
    </row>
    <row r="5" spans="1:18">
      <c r="A5" s="88"/>
      <c r="B5" s="89"/>
      <c r="C5" s="90"/>
      <c r="D5" s="90"/>
      <c r="E5" s="90"/>
      <c r="F5" s="90"/>
      <c r="G5" s="90"/>
      <c r="H5" s="90"/>
    </row>
    <row r="6" spans="1:18">
      <c r="A6" s="91" t="s">
        <v>49</v>
      </c>
      <c r="B6" s="92"/>
      <c r="C6" s="92"/>
      <c r="D6" s="92"/>
      <c r="E6" s="92"/>
      <c r="F6" s="92"/>
      <c r="G6" s="92"/>
      <c r="H6" s="92"/>
    </row>
    <row r="7" spans="1:18">
      <c r="A7" s="93" t="s">
        <v>50</v>
      </c>
      <c r="B7" s="94"/>
      <c r="C7" s="94"/>
      <c r="D7" s="94"/>
      <c r="E7" s="94"/>
      <c r="F7" s="94"/>
      <c r="G7" s="94"/>
      <c r="H7" s="94"/>
    </row>
    <row r="8" spans="1:18">
      <c r="A8" s="95" t="s">
        <v>250</v>
      </c>
      <c r="B8" s="96">
        <f>'8.Cash Flow '!C37</f>
        <v>2082581.2516175658</v>
      </c>
      <c r="C8" s="96">
        <f>'8.Cash Flow '!D37</f>
        <v>5051815.7178085744</v>
      </c>
      <c r="D8" s="96">
        <f>'8.Cash Flow '!E37</f>
        <v>7886141.823694393</v>
      </c>
      <c r="E8" s="96">
        <f>'8.Cash Flow '!F37</f>
        <v>11632055.548808202</v>
      </c>
      <c r="F8" s="96">
        <f>'8.Cash Flow '!G37</f>
        <v>16387025.108026281</v>
      </c>
      <c r="G8" s="96">
        <f>'8.Cash Flow '!H37</f>
        <v>22220332.086317137</v>
      </c>
      <c r="H8" s="96">
        <f>'8.Cash Flow '!I37</f>
        <v>29272037.241833761</v>
      </c>
      <c r="K8" s="50"/>
      <c r="L8" s="50"/>
      <c r="M8" s="50"/>
      <c r="N8" s="50"/>
      <c r="O8" s="50"/>
      <c r="P8" s="50"/>
      <c r="Q8" s="50"/>
      <c r="R8" s="50"/>
    </row>
    <row r="9" spans="1:18">
      <c r="A9" s="97" t="s">
        <v>251</v>
      </c>
      <c r="B9" s="98">
        <f>'5.Closing Stock &amp; W Capital'!E41</f>
        <v>2961446.7071671234</v>
      </c>
      <c r="C9" s="98">
        <f>'5.Closing Stock &amp; W Capital'!F41</f>
        <v>3670935.2308612606</v>
      </c>
      <c r="D9" s="98">
        <f>'5.Closing Stock &amp; W Capital'!G41</f>
        <v>4358503.2501232279</v>
      </c>
      <c r="E9" s="98">
        <f>'5.Closing Stock &amp; W Capital'!H41</f>
        <v>5105650.7332342397</v>
      </c>
      <c r="F9" s="98">
        <f>'5.Closing Stock &amp; W Capital'!I41</f>
        <v>5916616.7065310432</v>
      </c>
      <c r="G9" s="98">
        <f>'5.Closing Stock &amp; W Capital'!J41</f>
        <v>6795915.1503244424</v>
      </c>
      <c r="H9" s="98">
        <f>'5.Closing Stock &amp; W Capital'!K41</f>
        <v>7748351.896730856</v>
      </c>
      <c r="K9" s="50"/>
      <c r="L9" s="50"/>
      <c r="M9" s="50"/>
      <c r="N9" s="50"/>
      <c r="O9" s="50"/>
      <c r="P9" s="50"/>
      <c r="Q9" s="50"/>
      <c r="R9" s="50"/>
    </row>
    <row r="10" spans="1:18">
      <c r="A10" s="97" t="s">
        <v>570</v>
      </c>
      <c r="B10" s="98">
        <f>'5.Closing Stock &amp; W Capital'!E42</f>
        <v>2217186.0345600001</v>
      </c>
      <c r="C10" s="98">
        <f>'5.Closing Stock &amp; W Capital'!F42</f>
        <v>2668706.7908256003</v>
      </c>
      <c r="D10" s="98">
        <f>'5.Closing Stock &amp; W Capital'!G42</f>
        <v>3159836.65763136</v>
      </c>
      <c r="E10" s="98">
        <f>'5.Closing Stock &amp; W Capital'!H42</f>
        <v>3693407.7441406325</v>
      </c>
      <c r="F10" s="98">
        <f>'5.Closing Stock &amp; W Capital'!I42</f>
        <v>4272436.3476567538</v>
      </c>
      <c r="G10" s="98">
        <f>'5.Closing Stock &amp; W Capital'!J42</f>
        <v>4900134.2921641357</v>
      </c>
      <c r="H10" s="98">
        <f>'5.Closing Stock &amp; W Capital'!K42</f>
        <v>5579920.9402531143</v>
      </c>
      <c r="K10" s="50"/>
      <c r="L10" s="50"/>
      <c r="M10" s="50"/>
      <c r="N10" s="50"/>
      <c r="O10" s="50"/>
      <c r="P10" s="50"/>
      <c r="Q10" s="50"/>
      <c r="R10" s="50"/>
    </row>
    <row r="11" spans="1:18">
      <c r="A11" s="93" t="s">
        <v>252</v>
      </c>
      <c r="B11" s="96">
        <f t="shared" ref="B11:H11" si="0">SUM(B8:B10)</f>
        <v>7261213.9933446888</v>
      </c>
      <c r="C11" s="96">
        <f t="shared" si="0"/>
        <v>11391457.739495436</v>
      </c>
      <c r="D11" s="96">
        <f t="shared" si="0"/>
        <v>15404481.731448982</v>
      </c>
      <c r="E11" s="96">
        <f t="shared" si="0"/>
        <v>20431114.026183076</v>
      </c>
      <c r="F11" s="96">
        <f t="shared" si="0"/>
        <v>26576078.162214078</v>
      </c>
      <c r="G11" s="96">
        <f t="shared" si="0"/>
        <v>33916381.528805718</v>
      </c>
      <c r="H11" s="96">
        <f t="shared" si="0"/>
        <v>42600310.078817733</v>
      </c>
    </row>
    <row r="12" spans="1:18">
      <c r="A12" s="93"/>
      <c r="B12" s="98"/>
      <c r="C12" s="98"/>
      <c r="D12" s="98"/>
      <c r="E12" s="98"/>
      <c r="F12" s="98"/>
      <c r="G12" s="98"/>
      <c r="H12" s="98"/>
      <c r="J12" s="50"/>
      <c r="K12" s="50"/>
      <c r="L12" s="50"/>
      <c r="M12" s="50"/>
      <c r="N12" s="50"/>
      <c r="O12" s="50"/>
      <c r="P12" s="50"/>
      <c r="Q12" s="50"/>
    </row>
    <row r="13" spans="1:18">
      <c r="A13" s="99" t="s">
        <v>253</v>
      </c>
      <c r="B13" s="98">
        <f>'3.Other Exp &amp; Taxes'!C65</f>
        <v>20002325</v>
      </c>
      <c r="C13" s="98">
        <f>'3.Other Exp &amp; Taxes'!D65</f>
        <v>18913196.011</v>
      </c>
      <c r="D13" s="98">
        <f>'3.Other Exp &amp; Taxes'!E65</f>
        <v>17824067.022</v>
      </c>
      <c r="E13" s="98">
        <f>'3.Other Exp &amp; Taxes'!F65</f>
        <v>16734938.033</v>
      </c>
      <c r="F13" s="98">
        <f>'3.Other Exp &amp; Taxes'!G65</f>
        <v>15645809.044</v>
      </c>
      <c r="G13" s="98">
        <f>'3.Other Exp &amp; Taxes'!H65</f>
        <v>14556680.055</v>
      </c>
      <c r="H13" s="98">
        <f>'3.Other Exp &amp; Taxes'!I65</f>
        <v>13467551.066</v>
      </c>
    </row>
    <row r="14" spans="1:18">
      <c r="A14" s="99" t="s">
        <v>254</v>
      </c>
      <c r="B14" s="98">
        <f>'3.Other Exp &amp; Taxes'!C66</f>
        <v>1089128.9889999998</v>
      </c>
      <c r="C14" s="98">
        <f>'3.Other Exp &amp; Taxes'!D66</f>
        <v>1089128.9889999998</v>
      </c>
      <c r="D14" s="98">
        <f>'3.Other Exp &amp; Taxes'!E66</f>
        <v>1089128.9889999998</v>
      </c>
      <c r="E14" s="98">
        <f>'3.Other Exp &amp; Taxes'!F66</f>
        <v>1089128.9889999998</v>
      </c>
      <c r="F14" s="98">
        <f>'3.Other Exp &amp; Taxes'!G66</f>
        <v>1089128.9889999998</v>
      </c>
      <c r="G14" s="98">
        <f>'3.Other Exp &amp; Taxes'!H66</f>
        <v>1089128.9889999998</v>
      </c>
      <c r="H14" s="98">
        <f>'3.Other Exp &amp; Taxes'!I66</f>
        <v>1089128.9889999998</v>
      </c>
      <c r="K14" s="50"/>
      <c r="L14" s="50"/>
      <c r="M14" s="50"/>
      <c r="N14" s="50"/>
      <c r="O14" s="50"/>
      <c r="P14" s="50"/>
      <c r="Q14" s="50"/>
    </row>
    <row r="15" spans="1:18" s="43" customFormat="1">
      <c r="A15" s="93" t="s">
        <v>200</v>
      </c>
      <c r="B15" s="96">
        <f t="shared" ref="B15:H15" si="1">B13-B14</f>
        <v>18913196.011</v>
      </c>
      <c r="C15" s="96">
        <f t="shared" si="1"/>
        <v>17824067.022</v>
      </c>
      <c r="D15" s="96">
        <f t="shared" si="1"/>
        <v>16734938.033</v>
      </c>
      <c r="E15" s="96">
        <f t="shared" si="1"/>
        <v>15645809.044</v>
      </c>
      <c r="F15" s="96">
        <f t="shared" si="1"/>
        <v>14556680.055</v>
      </c>
      <c r="G15" s="96">
        <f t="shared" si="1"/>
        <v>13467551.066</v>
      </c>
      <c r="H15" s="96">
        <f t="shared" si="1"/>
        <v>12378422.077</v>
      </c>
    </row>
    <row r="16" spans="1:18" s="43" customFormat="1">
      <c r="A16" s="93"/>
      <c r="B16" s="96"/>
      <c r="C16" s="96"/>
      <c r="D16" s="96"/>
      <c r="E16" s="96"/>
      <c r="F16" s="96"/>
      <c r="G16" s="96"/>
      <c r="H16" s="96"/>
    </row>
    <row r="17" spans="1:8" s="43" customFormat="1">
      <c r="A17" s="100"/>
      <c r="B17" s="96"/>
      <c r="C17" s="96"/>
      <c r="D17" s="96"/>
      <c r="E17" s="96"/>
      <c r="F17" s="96"/>
      <c r="G17" s="96"/>
      <c r="H17" s="96"/>
    </row>
    <row r="18" spans="1:8" s="43" customFormat="1">
      <c r="A18" s="93" t="s">
        <v>493</v>
      </c>
      <c r="B18" s="96">
        <f>'8.Cash Flow '!C21-'6.Cons Profit &amp; Loss'!B43</f>
        <v>504000</v>
      </c>
      <c r="C18" s="96">
        <f>B18-'6.Cons Profit &amp; Loss'!C43</f>
        <v>378000</v>
      </c>
      <c r="D18" s="96">
        <f>C18-'6.Cons Profit &amp; Loss'!D43</f>
        <v>252000</v>
      </c>
      <c r="E18" s="96">
        <f>D18-'6.Cons Profit &amp; Loss'!E43</f>
        <v>126000</v>
      </c>
      <c r="F18" s="96">
        <f>E18-'6.Cons Profit &amp; Loss'!F43</f>
        <v>0</v>
      </c>
      <c r="G18" s="96">
        <f>F18-'6.Cons Profit &amp; Loss'!G43</f>
        <v>0</v>
      </c>
      <c r="H18" s="96">
        <f>G18-'6.Cons Profit &amp; Loss'!H43</f>
        <v>0</v>
      </c>
    </row>
    <row r="19" spans="1:8">
      <c r="A19" s="99"/>
      <c r="B19" s="98"/>
      <c r="C19" s="98"/>
      <c r="D19" s="98"/>
      <c r="E19" s="98"/>
      <c r="F19" s="98"/>
      <c r="G19" s="98"/>
      <c r="H19" s="98"/>
    </row>
    <row r="20" spans="1:8">
      <c r="A20" s="100" t="s">
        <v>256</v>
      </c>
      <c r="B20" s="101">
        <f t="shared" ref="B20:H20" si="2">B11+B15+B17+B18</f>
        <v>26678410.004344687</v>
      </c>
      <c r="C20" s="101">
        <f t="shared" si="2"/>
        <v>29593524.761495434</v>
      </c>
      <c r="D20" s="101">
        <f t="shared" si="2"/>
        <v>32391419.764448982</v>
      </c>
      <c r="E20" s="101">
        <f t="shared" si="2"/>
        <v>36202923.070183076</v>
      </c>
      <c r="F20" s="101">
        <f t="shared" si="2"/>
        <v>41132758.217214078</v>
      </c>
      <c r="G20" s="101">
        <f t="shared" si="2"/>
        <v>47383932.594805717</v>
      </c>
      <c r="H20" s="101">
        <f t="shared" si="2"/>
        <v>54978732.155817732</v>
      </c>
    </row>
    <row r="21" spans="1:8">
      <c r="A21" s="88"/>
      <c r="B21" s="102"/>
      <c r="C21" s="102"/>
      <c r="D21" s="102"/>
      <c r="E21" s="102"/>
      <c r="F21" s="102"/>
      <c r="G21" s="102"/>
      <c r="H21" s="102"/>
    </row>
    <row r="22" spans="1:8">
      <c r="A22" s="91" t="s">
        <v>257</v>
      </c>
      <c r="B22" s="103"/>
      <c r="C22" s="103"/>
      <c r="D22" s="103"/>
      <c r="E22" s="103"/>
      <c r="F22" s="103"/>
      <c r="G22" s="103"/>
      <c r="H22" s="103"/>
    </row>
    <row r="23" spans="1:8">
      <c r="A23" s="93" t="s">
        <v>258</v>
      </c>
      <c r="B23" s="103"/>
      <c r="C23" s="103"/>
      <c r="D23" s="103"/>
      <c r="E23" s="103"/>
      <c r="F23" s="103"/>
      <c r="G23" s="103"/>
      <c r="H23" s="103"/>
    </row>
    <row r="24" spans="1:8">
      <c r="A24" s="97" t="s">
        <v>259</v>
      </c>
      <c r="B24" s="96">
        <f>('5.Closing Stock &amp; W Capital'!E55-'5.Closing Stock &amp; W Capital'!E56)</f>
        <v>2858436.5831141914</v>
      </c>
      <c r="C24" s="96">
        <f>('5.Closing Stock &amp; W Capital'!F55-'5.Closing Stock &amp; W Capital'!F56)</f>
        <v>4634593.1414352404</v>
      </c>
      <c r="D24" s="96">
        <f>('5.Closing Stock &amp; W Capital'!G55-'5.Closing Stock &amp; W Capital'!G56)</f>
        <v>5497806.4953888468</v>
      </c>
      <c r="E24" s="96">
        <f>('5.Closing Stock &amp; W Capital'!H55-'5.Closing Stock &amp; W Capital'!H56)</f>
        <v>6435754.7018842287</v>
      </c>
      <c r="F24" s="96">
        <f>('5.Closing Stock &amp; W Capital'!I55-'5.Closing Stock &amp; W Capital'!I56)</f>
        <v>7453753.2127906736</v>
      </c>
      <c r="G24" s="96">
        <f>('5.Closing Stock &amp; W Capital'!J55-'5.Closing Stock &amp; W Capital'!J56)</f>
        <v>8557462.1880330537</v>
      </c>
      <c r="H24" s="96">
        <f>('5.Closing Stock &amp; W Capital'!K55-'5.Closing Stock &amp; W Capital'!K56)</f>
        <v>9752907.6777676996</v>
      </c>
    </row>
    <row r="25" spans="1:8">
      <c r="A25" s="97" t="s">
        <v>260</v>
      </c>
      <c r="B25" s="102">
        <f>'5.Closing Stock &amp; W Capital'!E54</f>
        <v>1367383.9642415342</v>
      </c>
      <c r="C25" s="102">
        <f>'5.Closing Stock &amp; W Capital'!F54</f>
        <v>1705048.8802516211</v>
      </c>
      <c r="D25" s="102">
        <f>'5.Closing Stock &amp; W Capital'!G54</f>
        <v>2020533.4123657409</v>
      </c>
      <c r="E25" s="102">
        <f>'5.Closing Stock &amp; W Capital'!H54</f>
        <v>2363303.7754906439</v>
      </c>
      <c r="F25" s="102">
        <f>'5.Closing Stock &amp; W Capital'!I54</f>
        <v>2735299.8413971229</v>
      </c>
      <c r="G25" s="102">
        <f>'5.Closing Stock &amp; W Capital'!J54</f>
        <v>3138587.2544555236</v>
      </c>
      <c r="H25" s="102">
        <f>'5.Closing Stock &amp; W Capital'!K54</f>
        <v>3575365.1592162712</v>
      </c>
    </row>
    <row r="26" spans="1:8">
      <c r="A26" s="97" t="s">
        <v>261</v>
      </c>
      <c r="B26" s="96"/>
      <c r="C26" s="96"/>
      <c r="D26" s="96"/>
      <c r="E26" s="96"/>
      <c r="F26" s="96"/>
      <c r="G26" s="96"/>
      <c r="H26" s="96"/>
    </row>
    <row r="27" spans="1:8">
      <c r="A27" s="93" t="s">
        <v>262</v>
      </c>
      <c r="B27" s="101">
        <f t="shared" ref="B27:H27" si="3">SUM(B24:B26)</f>
        <v>4225820.5473557254</v>
      </c>
      <c r="C27" s="101">
        <f t="shared" si="3"/>
        <v>6339642.0216868613</v>
      </c>
      <c r="D27" s="101">
        <f t="shared" si="3"/>
        <v>7518339.9077545879</v>
      </c>
      <c r="E27" s="101">
        <f t="shared" si="3"/>
        <v>8799058.4773748722</v>
      </c>
      <c r="F27" s="101">
        <f t="shared" si="3"/>
        <v>10189053.054187797</v>
      </c>
      <c r="G27" s="101">
        <f t="shared" si="3"/>
        <v>11696049.442488577</v>
      </c>
      <c r="H27" s="101">
        <f t="shared" si="3"/>
        <v>13328272.836983971</v>
      </c>
    </row>
    <row r="28" spans="1:8">
      <c r="A28" s="93" t="s">
        <v>263</v>
      </c>
      <c r="B28" s="101">
        <f>'4.TL repayment sch'!G21</f>
        <v>6786932.7181723937</v>
      </c>
      <c r="C28" s="101">
        <f>'4.TL repayment sch'!G33</f>
        <v>5964897.0845518559</v>
      </c>
      <c r="D28" s="101">
        <f>'4.TL repayment sch'!G45</f>
        <v>5038606.7569278395</v>
      </c>
      <c r="E28" s="101">
        <f>'4.TL repayment sch'!G57</f>
        <v>3994839.6305919532</v>
      </c>
      <c r="F28" s="101">
        <f>'4.TL repayment sch'!G69</f>
        <v>2818696.7070077597</v>
      </c>
      <c r="G28" s="101">
        <f>'4.TL repayment sch'!G81</f>
        <v>1493389.4217004979</v>
      </c>
      <c r="H28" s="101">
        <f>'[1]Term Loan'!J72+'[1]Term Loan'!S72</f>
        <v>0</v>
      </c>
    </row>
    <row r="29" spans="1:8">
      <c r="A29" s="93" t="s">
        <v>264</v>
      </c>
      <c r="B29" s="101"/>
      <c r="C29" s="101"/>
      <c r="D29" s="101"/>
      <c r="E29" s="101"/>
      <c r="F29" s="101"/>
      <c r="G29" s="101"/>
      <c r="H29" s="101"/>
    </row>
    <row r="30" spans="1:8">
      <c r="A30" s="93"/>
      <c r="B30" s="104"/>
      <c r="C30" s="104"/>
      <c r="D30" s="104"/>
      <c r="E30" s="104"/>
      <c r="F30" s="104"/>
      <c r="G30" s="104"/>
      <c r="H30" s="104"/>
    </row>
    <row r="31" spans="1:8">
      <c r="A31" s="100" t="s">
        <v>265</v>
      </c>
      <c r="B31" s="101">
        <f t="shared" ref="B31:H31" si="4">SUM(B27:B29)</f>
        <v>11012753.26552812</v>
      </c>
      <c r="C31" s="101">
        <f t="shared" si="4"/>
        <v>12304539.106238717</v>
      </c>
      <c r="D31" s="101">
        <f t="shared" si="4"/>
        <v>12556946.664682427</v>
      </c>
      <c r="E31" s="101">
        <f t="shared" si="4"/>
        <v>12793898.107966825</v>
      </c>
      <c r="F31" s="101">
        <f t="shared" si="4"/>
        <v>13007749.761195557</v>
      </c>
      <c r="G31" s="101">
        <f t="shared" si="4"/>
        <v>13189438.864189075</v>
      </c>
      <c r="H31" s="101">
        <f t="shared" si="4"/>
        <v>13328272.836983971</v>
      </c>
    </row>
    <row r="32" spans="1:8">
      <c r="A32" s="88"/>
      <c r="B32" s="105"/>
      <c r="C32" s="105"/>
      <c r="D32" s="105"/>
      <c r="E32" s="105"/>
      <c r="F32" s="105"/>
      <c r="G32" s="105"/>
      <c r="H32" s="105"/>
    </row>
    <row r="33" spans="1:8">
      <c r="A33" s="99" t="s">
        <v>266</v>
      </c>
      <c r="B33" s="98">
        <f>'1.Project Cost and MOF'!E21</f>
        <v>3016044.6943713971</v>
      </c>
      <c r="C33" s="98">
        <f>B33</f>
        <v>3016044.6943713971</v>
      </c>
      <c r="D33" s="98">
        <f t="shared" ref="D33:H34" si="5">C33</f>
        <v>3016044.6943713971</v>
      </c>
      <c r="E33" s="98">
        <f t="shared" si="5"/>
        <v>3016044.6943713971</v>
      </c>
      <c r="F33" s="98">
        <f t="shared" si="5"/>
        <v>3016044.6943713971</v>
      </c>
      <c r="G33" s="98">
        <f t="shared" si="5"/>
        <v>3016044.6943713971</v>
      </c>
      <c r="H33" s="98">
        <f t="shared" si="5"/>
        <v>3016044.6943713971</v>
      </c>
    </row>
    <row r="34" spans="1:8">
      <c r="A34" s="99" t="s">
        <v>494</v>
      </c>
      <c r="B34" s="98">
        <f>'1.Project Cost and MOF'!E19</f>
        <v>11406517.199999999</v>
      </c>
      <c r="C34" s="98">
        <f>B34</f>
        <v>11406517.199999999</v>
      </c>
      <c r="D34" s="98">
        <f t="shared" si="5"/>
        <v>11406517.199999999</v>
      </c>
      <c r="E34" s="98">
        <f t="shared" si="5"/>
        <v>11406517.199999999</v>
      </c>
      <c r="F34" s="98">
        <f t="shared" si="5"/>
        <v>11406517.199999999</v>
      </c>
      <c r="G34" s="98">
        <f t="shared" si="5"/>
        <v>11406517.199999999</v>
      </c>
      <c r="H34" s="98">
        <f t="shared" si="5"/>
        <v>11406517.199999999</v>
      </c>
    </row>
    <row r="35" spans="1:8">
      <c r="A35" s="93" t="s">
        <v>267</v>
      </c>
      <c r="B35" s="98"/>
      <c r="C35" s="98"/>
      <c r="D35" s="98"/>
      <c r="E35" s="98"/>
      <c r="F35" s="98"/>
      <c r="G35" s="98"/>
      <c r="H35" s="98"/>
    </row>
    <row r="36" spans="1:8">
      <c r="A36" s="99" t="s">
        <v>268</v>
      </c>
      <c r="B36" s="98">
        <v>0</v>
      </c>
      <c r="C36" s="98">
        <f t="shared" ref="C36:H36" si="6">B39</f>
        <v>1243094.844445162</v>
      </c>
      <c r="D36" s="98">
        <f t="shared" si="6"/>
        <v>2866423.7608853322</v>
      </c>
      <c r="E36" s="98">
        <f t="shared" si="6"/>
        <v>5411911.2053951994</v>
      </c>
      <c r="F36" s="98">
        <f t="shared" si="6"/>
        <v>8986463.0678449068</v>
      </c>
      <c r="G36" s="98">
        <f t="shared" si="6"/>
        <v>13702446.561647184</v>
      </c>
      <c r="H36" s="98">
        <f t="shared" si="6"/>
        <v>19771931.836245306</v>
      </c>
    </row>
    <row r="37" spans="1:8">
      <c r="A37" s="99" t="s">
        <v>269</v>
      </c>
      <c r="B37" s="98">
        <f>'6.Cons Profit &amp; Loss'!B53</f>
        <v>1243094.844445162</v>
      </c>
      <c r="C37" s="98">
        <f>'6.Cons Profit &amp; Loss'!C51</f>
        <v>1623328.9164401703</v>
      </c>
      <c r="D37" s="98">
        <f>'6.Cons Profit &amp; Loss'!D51</f>
        <v>2545487.4445098671</v>
      </c>
      <c r="E37" s="98">
        <f>'6.Cons Profit &amp; Loss'!E51</f>
        <v>3574551.8624497075</v>
      </c>
      <c r="F37" s="98">
        <f>'6.Cons Profit &amp; Loss'!F51</f>
        <v>4715983.4938022764</v>
      </c>
      <c r="G37" s="98">
        <f>'6.Cons Profit &amp; Loss'!G51</f>
        <v>6069485.2745981207</v>
      </c>
      <c r="H37" s="98">
        <f>'6.Cons Profit &amp; Loss'!H51</f>
        <v>7455965.5882171057</v>
      </c>
    </row>
    <row r="38" spans="1:8">
      <c r="A38" s="99" t="s">
        <v>270</v>
      </c>
      <c r="B38" s="98"/>
      <c r="C38" s="98"/>
      <c r="D38" s="98"/>
      <c r="E38" s="98"/>
      <c r="F38" s="98"/>
      <c r="G38" s="98"/>
      <c r="H38" s="98"/>
    </row>
    <row r="39" spans="1:8">
      <c r="A39" s="99" t="s">
        <v>271</v>
      </c>
      <c r="B39" s="98">
        <f t="shared" ref="B39:H39" si="7">B36+B37-B38</f>
        <v>1243094.844445162</v>
      </c>
      <c r="C39" s="98">
        <f t="shared" si="7"/>
        <v>2866423.7608853322</v>
      </c>
      <c r="D39" s="98">
        <f t="shared" si="7"/>
        <v>5411911.2053951994</v>
      </c>
      <c r="E39" s="98">
        <f t="shared" si="7"/>
        <v>8986463.0678449068</v>
      </c>
      <c r="F39" s="98">
        <f t="shared" si="7"/>
        <v>13702446.561647184</v>
      </c>
      <c r="G39" s="98">
        <f t="shared" si="7"/>
        <v>19771931.836245306</v>
      </c>
      <c r="H39" s="98">
        <f t="shared" si="7"/>
        <v>27227897.424462412</v>
      </c>
    </row>
    <row r="40" spans="1:8">
      <c r="A40" s="99"/>
      <c r="B40" s="103"/>
      <c r="C40" s="103"/>
      <c r="D40" s="103"/>
      <c r="E40" s="103"/>
      <c r="F40" s="103"/>
      <c r="G40" s="103"/>
      <c r="H40" s="103"/>
    </row>
    <row r="41" spans="1:8">
      <c r="A41" s="106" t="s">
        <v>272</v>
      </c>
      <c r="B41" s="107">
        <f t="shared" ref="B41:H41" si="8">B33+B39+B34</f>
        <v>15665656.738816559</v>
      </c>
      <c r="C41" s="107">
        <f t="shared" si="8"/>
        <v>17288985.65525673</v>
      </c>
      <c r="D41" s="107">
        <f t="shared" si="8"/>
        <v>19834473.099766597</v>
      </c>
      <c r="E41" s="107">
        <f t="shared" si="8"/>
        <v>23409024.962216303</v>
      </c>
      <c r="F41" s="107">
        <f t="shared" si="8"/>
        <v>28125008.456018582</v>
      </c>
      <c r="G41" s="107">
        <f t="shared" si="8"/>
        <v>34194493.730616704</v>
      </c>
      <c r="H41" s="107">
        <f t="shared" si="8"/>
        <v>41650459.318833813</v>
      </c>
    </row>
    <row r="42" spans="1:8">
      <c r="A42" s="88"/>
      <c r="B42" s="98"/>
      <c r="C42" s="98"/>
      <c r="D42" s="98"/>
      <c r="E42" s="98"/>
      <c r="F42" s="98"/>
      <c r="G42" s="98"/>
      <c r="H42" s="98"/>
    </row>
    <row r="43" spans="1:8">
      <c r="A43" s="100" t="s">
        <v>273</v>
      </c>
      <c r="B43" s="101">
        <f t="shared" ref="B43:H43" si="9">B31+B41</f>
        <v>26678410.004344679</v>
      </c>
      <c r="C43" s="101">
        <f t="shared" si="9"/>
        <v>29593524.761495449</v>
      </c>
      <c r="D43" s="101">
        <f t="shared" si="9"/>
        <v>32391419.764449023</v>
      </c>
      <c r="E43" s="101">
        <f t="shared" si="9"/>
        <v>36202923.070183128</v>
      </c>
      <c r="F43" s="101">
        <f t="shared" si="9"/>
        <v>41132758.217214137</v>
      </c>
      <c r="G43" s="101">
        <f t="shared" si="9"/>
        <v>47383932.594805777</v>
      </c>
      <c r="H43" s="101">
        <f t="shared" si="9"/>
        <v>54978732.155817784</v>
      </c>
    </row>
    <row r="44" spans="1:8">
      <c r="A44" s="88"/>
      <c r="B44" s="108"/>
      <c r="C44" s="108"/>
      <c r="D44" s="108"/>
      <c r="E44" s="108"/>
      <c r="F44" s="108"/>
      <c r="G44" s="108"/>
      <c r="H44" s="108"/>
    </row>
    <row r="45" spans="1:8">
      <c r="A45" s="109" t="s">
        <v>274</v>
      </c>
      <c r="B45" s="110"/>
      <c r="C45" s="110"/>
      <c r="D45" s="110"/>
      <c r="E45" s="110"/>
      <c r="F45" s="110"/>
      <c r="G45" s="110"/>
      <c r="H45" s="110"/>
    </row>
    <row r="46" spans="1:8">
      <c r="A46" s="111" t="s">
        <v>275</v>
      </c>
      <c r="B46" s="112">
        <f t="shared" ref="B46:H46" si="10">B43-B20</f>
        <v>0</v>
      </c>
      <c r="C46" s="112">
        <f t="shared" si="10"/>
        <v>0</v>
      </c>
      <c r="D46" s="112">
        <f t="shared" si="10"/>
        <v>4.0978193283081055E-8</v>
      </c>
      <c r="E46" s="112">
        <f t="shared" si="10"/>
        <v>0</v>
      </c>
      <c r="F46" s="112">
        <f t="shared" si="10"/>
        <v>5.9604644775390625E-8</v>
      </c>
      <c r="G46" s="112">
        <f t="shared" si="10"/>
        <v>5.9604644775390625E-8</v>
      </c>
      <c r="H46" s="112">
        <f t="shared" si="10"/>
        <v>0</v>
      </c>
    </row>
    <row r="47" spans="1:8">
      <c r="A47" s="111"/>
      <c r="B47" s="112"/>
      <c r="C47" s="112"/>
      <c r="D47" s="112"/>
      <c r="E47" s="112"/>
      <c r="F47" s="112"/>
      <c r="G47" s="112"/>
      <c r="H47" s="112"/>
    </row>
    <row r="48" spans="1:8" ht="15.75" thickBot="1">
      <c r="A48" s="113"/>
      <c r="B48" s="114"/>
      <c r="C48" s="114"/>
      <c r="D48" s="114"/>
      <c r="E48" s="114"/>
      <c r="F48" s="114"/>
      <c r="G48" s="114"/>
      <c r="H48" s="114"/>
    </row>
    <row r="49" spans="1:9">
      <c r="B49" s="44"/>
      <c r="C49" s="44"/>
      <c r="D49" s="44"/>
      <c r="E49" s="44"/>
      <c r="F49" s="44"/>
      <c r="G49" s="44"/>
      <c r="H49" s="44"/>
    </row>
    <row r="50" spans="1:9" ht="39.6" customHeight="1">
      <c r="A50" s="411" t="s">
        <v>403</v>
      </c>
      <c r="B50" s="412"/>
      <c r="C50" s="412"/>
      <c r="D50" s="412"/>
      <c r="E50" s="412"/>
      <c r="F50" s="412"/>
      <c r="G50" s="412"/>
      <c r="H50" s="412"/>
      <c r="I50" s="41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dimension ref="A1:J45"/>
  <sheetViews>
    <sheetView view="pageBreakPreview" zoomScale="80" zoomScaleSheetLayoutView="80" workbookViewId="0">
      <selection activeCell="E43" sqref="E43"/>
    </sheetView>
  </sheetViews>
  <sheetFormatPr defaultRowHeight="15"/>
  <cols>
    <col min="1" max="1" width="3.5703125" bestFit="1" customWidth="1"/>
    <col min="2" max="2" width="32.5703125" customWidth="1"/>
    <col min="3" max="3" width="15.5703125" customWidth="1"/>
    <col min="4" max="4" width="15.7109375" customWidth="1"/>
    <col min="5" max="5" width="14.5703125" customWidth="1"/>
    <col min="6" max="6" width="14.7109375" customWidth="1"/>
    <col min="7" max="7" width="18.7109375" customWidth="1"/>
    <col min="8" max="9" width="14.7109375" bestFit="1" customWidth="1"/>
  </cols>
  <sheetData>
    <row r="1" spans="1:10">
      <c r="A1" s="393"/>
      <c r="B1" s="393"/>
      <c r="C1" s="393"/>
      <c r="D1" s="393"/>
      <c r="E1" s="393"/>
      <c r="F1" s="393"/>
      <c r="G1" s="393"/>
    </row>
    <row r="2" spans="1:10" ht="18.75">
      <c r="A2" s="381" t="s">
        <v>536</v>
      </c>
      <c r="B2" s="381"/>
      <c r="C2" s="381"/>
      <c r="D2" s="381"/>
      <c r="E2" s="381"/>
      <c r="F2" s="381"/>
      <c r="G2" s="381"/>
      <c r="H2" s="381"/>
      <c r="I2" s="381"/>
      <c r="J2" s="5"/>
    </row>
    <row r="4" spans="1:10">
      <c r="A4" s="322" t="s">
        <v>232</v>
      </c>
      <c r="B4" s="322" t="s">
        <v>0</v>
      </c>
      <c r="C4" s="323" t="s">
        <v>2</v>
      </c>
      <c r="D4" s="323" t="s">
        <v>3</v>
      </c>
      <c r="E4" s="323" t="s">
        <v>4</v>
      </c>
      <c r="F4" s="323" t="s">
        <v>5</v>
      </c>
      <c r="G4" s="323" t="s">
        <v>6</v>
      </c>
      <c r="H4" s="323" t="s">
        <v>169</v>
      </c>
      <c r="I4" s="323" t="s">
        <v>168</v>
      </c>
    </row>
    <row r="5" spans="1:10">
      <c r="A5" s="29">
        <v>1</v>
      </c>
      <c r="B5" s="29" t="s">
        <v>7</v>
      </c>
      <c r="C5" s="30"/>
      <c r="D5" s="30"/>
      <c r="E5" s="30"/>
      <c r="F5" s="30"/>
      <c r="G5" s="30"/>
      <c r="H5" s="30"/>
      <c r="I5" s="30"/>
    </row>
    <row r="6" spans="1:10">
      <c r="A6" s="29"/>
      <c r="B6" s="31" t="s">
        <v>361</v>
      </c>
      <c r="C6" s="30">
        <f>'6.Cons Profit &amp; Loss'!B15</f>
        <v>77209146.294</v>
      </c>
      <c r="D6" s="30">
        <f>'6.Cons Profit &amp; Loss'!C15</f>
        <v>95706525.661740005</v>
      </c>
      <c r="E6" s="30">
        <f>'6.Cons Profit &amp; Loss'!D15</f>
        <v>113632406.163927</v>
      </c>
      <c r="F6" s="30">
        <f>'6.Cons Profit &amp; Loss'!E15</f>
        <v>133111608.40217838</v>
      </c>
      <c r="G6" s="30">
        <f>'6.Cons Profit &amp; Loss'!F15</f>
        <v>154254649.84884506</v>
      </c>
      <c r="H6" s="30">
        <f>'6.Cons Profit &amp; Loss'!G15</f>
        <v>177179216.41917297</v>
      </c>
      <c r="I6" s="30">
        <f>'6.Cons Profit &amp; Loss'!H15</f>
        <v>202010603.02191156</v>
      </c>
    </row>
    <row r="7" spans="1:10">
      <c r="A7" s="29">
        <v>2</v>
      </c>
      <c r="B7" s="29" t="s">
        <v>233</v>
      </c>
      <c r="C7" s="30">
        <f>'1.Project Cost and MOF'!E21</f>
        <v>3016044.6943713971</v>
      </c>
      <c r="D7" s="30"/>
      <c r="E7" s="30"/>
      <c r="F7" s="30"/>
      <c r="G7" s="30"/>
      <c r="H7" s="30"/>
      <c r="I7" s="30"/>
    </row>
    <row r="8" spans="1:10">
      <c r="A8" s="29"/>
      <c r="B8" s="29" t="s">
        <v>292</v>
      </c>
      <c r="C8" s="30"/>
      <c r="D8" s="30"/>
      <c r="E8" s="30"/>
      <c r="F8" s="30"/>
      <c r="G8" s="30"/>
      <c r="H8" s="30"/>
      <c r="I8" s="30"/>
    </row>
    <row r="9" spans="1:10">
      <c r="A9" s="29">
        <v>3</v>
      </c>
      <c r="B9" s="29" t="str">
        <f>'7.Balance Sheet'!A34</f>
        <v>Smart Grant -in-Aid</v>
      </c>
      <c r="C9" s="30">
        <f>'1.Project Cost and MOF'!E19</f>
        <v>11406517.199999999</v>
      </c>
      <c r="D9" s="30"/>
      <c r="E9" s="30"/>
      <c r="F9" s="30"/>
      <c r="G9" s="30"/>
      <c r="H9" s="30"/>
      <c r="I9" s="30"/>
    </row>
    <row r="10" spans="1:10">
      <c r="A10" s="29">
        <v>4</v>
      </c>
      <c r="B10" s="29" t="s">
        <v>234</v>
      </c>
      <c r="C10" s="30">
        <f>'1.Project Cost and MOF'!E20</f>
        <v>7162575.3000000026</v>
      </c>
      <c r="D10" s="30"/>
      <c r="E10" s="30"/>
      <c r="F10" s="30"/>
      <c r="G10" s="30"/>
      <c r="H10" s="30"/>
      <c r="I10" s="30"/>
    </row>
    <row r="11" spans="1:10">
      <c r="A11" s="29">
        <v>5</v>
      </c>
      <c r="B11" s="29" t="s">
        <v>744</v>
      </c>
      <c r="C11" s="30">
        <f>'7.Balance Sheet'!B24</f>
        <v>2858436.5831141914</v>
      </c>
      <c r="D11" s="30">
        <f>'7.Balance Sheet'!C24-'7.Balance Sheet'!B24</f>
        <v>1776156.558321049</v>
      </c>
      <c r="E11" s="30">
        <f>'7.Balance Sheet'!D24-'7.Balance Sheet'!C24</f>
        <v>863213.35395360645</v>
      </c>
      <c r="F11" s="30">
        <f>'7.Balance Sheet'!E24-'7.Balance Sheet'!D24</f>
        <v>937948.20649538189</v>
      </c>
      <c r="G11" s="30">
        <f>'7.Balance Sheet'!F24-'7.Balance Sheet'!E24</f>
        <v>1017998.5109064449</v>
      </c>
      <c r="H11" s="30">
        <f>'7.Balance Sheet'!G24-'7.Balance Sheet'!F24</f>
        <v>1103708.9752423801</v>
      </c>
      <c r="I11" s="30">
        <f>'7.Balance Sheet'!H24-'7.Balance Sheet'!G24</f>
        <v>1195445.4897346459</v>
      </c>
    </row>
    <row r="12" spans="1:10">
      <c r="A12" s="138"/>
      <c r="B12" s="29" t="s">
        <v>745</v>
      </c>
      <c r="C12" s="30">
        <f>'7.Balance Sheet'!B25</f>
        <v>1367383.9642415342</v>
      </c>
      <c r="D12" s="30">
        <f>'7.Balance Sheet'!C25-'7.Balance Sheet'!B25</f>
        <v>337664.91601008689</v>
      </c>
      <c r="E12" s="30">
        <f>'7.Balance Sheet'!D25-'7.Balance Sheet'!C25</f>
        <v>315484.53211411973</v>
      </c>
      <c r="F12" s="30">
        <f>'7.Balance Sheet'!E25-'7.Balance Sheet'!D25</f>
        <v>342770.36312490306</v>
      </c>
      <c r="G12" s="30">
        <f>'7.Balance Sheet'!F25-'7.Balance Sheet'!E25</f>
        <v>371996.06590647902</v>
      </c>
      <c r="H12" s="30">
        <f>'7.Balance Sheet'!G25-'7.Balance Sheet'!F25</f>
        <v>403287.41305840062</v>
      </c>
      <c r="I12" s="30">
        <f>'7.Balance Sheet'!H25-'7.Balance Sheet'!G25</f>
        <v>436777.90476074768</v>
      </c>
    </row>
    <row r="13" spans="1:10">
      <c r="A13" s="29"/>
      <c r="B13" s="29" t="s">
        <v>235</v>
      </c>
      <c r="C13" s="32">
        <f>SUM(C6:C12)</f>
        <v>103020104.03572713</v>
      </c>
      <c r="D13" s="32">
        <f t="shared" ref="D13:I13" si="0">SUM(D6:D12)</f>
        <v>97820347.136071131</v>
      </c>
      <c r="E13" s="32">
        <f t="shared" si="0"/>
        <v>114811104.04999472</v>
      </c>
      <c r="F13" s="32">
        <f t="shared" si="0"/>
        <v>134392326.97179866</v>
      </c>
      <c r="G13" s="32">
        <f t="shared" si="0"/>
        <v>155644644.42565799</v>
      </c>
      <c r="H13" s="32">
        <f t="shared" si="0"/>
        <v>178686212.80747375</v>
      </c>
      <c r="I13" s="32">
        <f t="shared" si="0"/>
        <v>203642826.41640696</v>
      </c>
    </row>
    <row r="14" spans="1:10">
      <c r="A14" s="413" t="s">
        <v>236</v>
      </c>
      <c r="B14" s="413"/>
      <c r="C14" s="33"/>
      <c r="D14" s="33"/>
      <c r="E14" s="33"/>
      <c r="F14" s="33"/>
      <c r="G14" s="33"/>
      <c r="H14" s="33"/>
      <c r="I14" s="33"/>
    </row>
    <row r="15" spans="1:10">
      <c r="A15" s="29">
        <v>1</v>
      </c>
      <c r="B15" s="29" t="s">
        <v>237</v>
      </c>
      <c r="C15" s="33"/>
      <c r="D15" s="33"/>
      <c r="E15" s="33"/>
      <c r="F15" s="33"/>
      <c r="G15" s="33"/>
      <c r="H15" s="33"/>
      <c r="I15" s="33"/>
    </row>
    <row r="16" spans="1:10">
      <c r="A16" s="34" t="s">
        <v>238</v>
      </c>
      <c r="B16" s="33" t="str">
        <f>'[1]Total Cost of Project'!C3</f>
        <v>Land and Building</v>
      </c>
      <c r="C16" s="35">
        <f>'1.Project Cost and MOF'!D5</f>
        <v>8750000</v>
      </c>
      <c r="D16" s="35"/>
      <c r="E16" s="35"/>
      <c r="F16" s="35"/>
      <c r="G16" s="35"/>
      <c r="H16" s="35"/>
      <c r="I16" s="35"/>
    </row>
    <row r="17" spans="1:9">
      <c r="A17" s="34" t="s">
        <v>239</v>
      </c>
      <c r="B17" s="36" t="str">
        <f>'[1]Total Cost of Project'!C4</f>
        <v>Machinery and Equipment</v>
      </c>
      <c r="C17" s="35">
        <f>'1.Project Cost and MOF'!D6</f>
        <v>9372262</v>
      </c>
      <c r="D17" s="35"/>
      <c r="E17" s="35"/>
      <c r="F17" s="35"/>
      <c r="G17" s="35"/>
      <c r="H17" s="35"/>
      <c r="I17" s="35"/>
    </row>
    <row r="18" spans="1:9">
      <c r="A18" s="34" t="s">
        <v>276</v>
      </c>
      <c r="B18" s="36" t="s">
        <v>329</v>
      </c>
      <c r="C18" s="35">
        <f>'1.Project Cost and MOF'!D7</f>
        <v>115000</v>
      </c>
      <c r="D18" s="35"/>
      <c r="E18" s="35"/>
      <c r="F18" s="35"/>
      <c r="G18" s="35"/>
      <c r="H18" s="35"/>
      <c r="I18" s="35"/>
    </row>
    <row r="19" spans="1:9">
      <c r="A19" s="34" t="s">
        <v>278</v>
      </c>
      <c r="B19" s="36" t="s">
        <v>331</v>
      </c>
      <c r="C19" s="35">
        <f>'1.Project Cost and MOF'!D8</f>
        <v>143600</v>
      </c>
      <c r="D19" s="35"/>
      <c r="E19" s="35"/>
      <c r="F19" s="35"/>
      <c r="G19" s="35"/>
      <c r="H19" s="35"/>
      <c r="I19" s="35"/>
    </row>
    <row r="20" spans="1:9">
      <c r="A20" s="34" t="s">
        <v>332</v>
      </c>
      <c r="B20" s="36" t="s">
        <v>277</v>
      </c>
      <c r="C20" s="35">
        <f>'1.Project Cost and MOF'!D9</f>
        <v>1621463</v>
      </c>
      <c r="D20" s="30"/>
      <c r="E20" s="30"/>
      <c r="F20" s="30"/>
      <c r="G20" s="30"/>
      <c r="H20" s="30"/>
      <c r="I20" s="30"/>
    </row>
    <row r="21" spans="1:9">
      <c r="A21" s="34" t="s">
        <v>333</v>
      </c>
      <c r="B21" s="36" t="s">
        <v>279</v>
      </c>
      <c r="C21" s="35">
        <f>'1.Project Cost and MOF'!D10</f>
        <v>630000</v>
      </c>
      <c r="D21" s="30"/>
      <c r="E21" s="30"/>
      <c r="F21" s="30"/>
      <c r="G21" s="30"/>
      <c r="H21" s="30"/>
      <c r="I21" s="30"/>
    </row>
    <row r="22" spans="1:9">
      <c r="A22" s="29">
        <v>2</v>
      </c>
      <c r="B22" s="29" t="s">
        <v>240</v>
      </c>
      <c r="C22" s="33"/>
      <c r="D22" s="33"/>
      <c r="E22" s="33"/>
      <c r="F22" s="33"/>
      <c r="G22" s="33"/>
      <c r="H22" s="33"/>
      <c r="I22" s="33"/>
    </row>
    <row r="23" spans="1:9">
      <c r="A23" s="34" t="s">
        <v>238</v>
      </c>
      <c r="B23" s="33" t="s">
        <v>311</v>
      </c>
      <c r="C23" s="54">
        <f>'6.Cons Profit &amp; Loss'!B25</f>
        <v>71299306.706880003</v>
      </c>
      <c r="D23" s="54">
        <f>'6.Cons Profit &amp; Loss'!C25</f>
        <v>88906120.184548825</v>
      </c>
      <c r="E23" s="54">
        <f>'6.Cons Profit &amp; Loss'!D25</f>
        <v>105356385.07335649</v>
      </c>
      <c r="F23" s="54">
        <f>'6.Cons Profit &amp; Loss'!E25</f>
        <v>123229411.15058358</v>
      </c>
      <c r="G23" s="54">
        <f>'6.Cons Profit &amp; Loss'!F25</f>
        <v>142626348.87284997</v>
      </c>
      <c r="H23" s="54">
        <f>'6.Cons Profit &amp; Loss'!G25</f>
        <v>163654906.83946657</v>
      </c>
      <c r="I23" s="54">
        <f>'6.Cons Profit &amp; Loss'!H25</f>
        <v>186429754.73056272</v>
      </c>
    </row>
    <row r="24" spans="1:9">
      <c r="A24" s="34" t="s">
        <v>239</v>
      </c>
      <c r="B24" s="33" t="s">
        <v>309</v>
      </c>
      <c r="C24" s="30">
        <f>'6.Cons Profit &amp; Loss'!B36</f>
        <v>2350000</v>
      </c>
      <c r="D24" s="30">
        <f>'6.Cons Profit &amp; Loss'!C36</f>
        <v>2467500</v>
      </c>
      <c r="E24" s="30">
        <f>'6.Cons Profit &amp; Loss'!D36</f>
        <v>2590875</v>
      </c>
      <c r="F24" s="30">
        <f>'6.Cons Profit &amp; Loss'!E36</f>
        <v>2720418.7500000005</v>
      </c>
      <c r="G24" s="30">
        <f>'6.Cons Profit &amp; Loss'!F36</f>
        <v>2856439.6875000005</v>
      </c>
      <c r="H24" s="30">
        <f>'6.Cons Profit &amp; Loss'!G36</f>
        <v>2999261.6718750005</v>
      </c>
      <c r="I24" s="30">
        <f>'6.Cons Profit &amp; Loss'!H36</f>
        <v>3149224.7554687513</v>
      </c>
    </row>
    <row r="25" spans="1:9">
      <c r="A25" s="37">
        <v>3</v>
      </c>
      <c r="B25" s="29" t="s">
        <v>492</v>
      </c>
      <c r="C25" s="30"/>
      <c r="D25" s="30"/>
      <c r="E25" s="30"/>
      <c r="F25" s="30"/>
      <c r="G25" s="30"/>
      <c r="H25" s="30"/>
      <c r="I25" s="30"/>
    </row>
    <row r="26" spans="1:9">
      <c r="A26" s="34"/>
      <c r="B26" s="33" t="s">
        <v>241</v>
      </c>
      <c r="C26" s="30">
        <f>SUM('4.TL repayment sch'!E10:E21)</f>
        <v>375642.58182760992</v>
      </c>
      <c r="D26" s="30">
        <f>SUM('4.TL repayment sch'!E22:E33)</f>
        <v>822035.63362054015</v>
      </c>
      <c r="E26" s="30">
        <f>SUM('4.TL repayment sch'!E34:E45)</f>
        <v>926290.32762401795</v>
      </c>
      <c r="F26" s="30">
        <f>SUM('4.TL repayment sch'!E46:E57)</f>
        <v>1043767.1263358856</v>
      </c>
      <c r="G26" s="30">
        <f>SUM('4.TL repayment sch'!E58:E69)</f>
        <v>1176142.9235841939</v>
      </c>
      <c r="H26" s="30">
        <f>SUM('4.TL repayment sch'!E70:E81)</f>
        <v>1325307.2853072623</v>
      </c>
      <c r="I26" s="30">
        <f>SUM('4.TL repayment sch'!E82:E93)</f>
        <v>1493389.4217004748</v>
      </c>
    </row>
    <row r="27" spans="1:9">
      <c r="A27" s="34"/>
      <c r="B27" s="33" t="s">
        <v>242</v>
      </c>
      <c r="C27" s="30">
        <f>SUM('4.TL repayment sch'!D10:D21)</f>
        <v>850226.98303121002</v>
      </c>
      <c r="D27" s="30">
        <f>SUM('4.TL repayment sch'!D22:D33)</f>
        <v>770194.46009709965</v>
      </c>
      <c r="E27" s="30">
        <f>SUM('4.TL repayment sch'!D34:D45)</f>
        <v>665939.76609362196</v>
      </c>
      <c r="F27" s="30">
        <f>SUM('4.TL repayment sch'!D46:D57)</f>
        <v>548462.96738175384</v>
      </c>
      <c r="G27" s="30">
        <f>SUM('4.TL repayment sch'!D58:D69)</f>
        <v>416087.17013344576</v>
      </c>
      <c r="H27" s="30">
        <f>SUM('4.TL repayment sch'!D70:D81)</f>
        <v>266922.80841037747</v>
      </c>
      <c r="I27" s="30">
        <f>SUM('4.TL repayment sch'!D82:D93)</f>
        <v>98840.672017164965</v>
      </c>
    </row>
    <row r="28" spans="1:9">
      <c r="A28" s="34"/>
      <c r="B28" s="33" t="s">
        <v>243</v>
      </c>
      <c r="C28" s="30"/>
      <c r="D28" s="30"/>
      <c r="E28" s="30"/>
      <c r="F28" s="30"/>
      <c r="G28" s="30"/>
      <c r="H28" s="30"/>
      <c r="I28" s="30"/>
    </row>
    <row r="29" spans="1:9">
      <c r="A29" s="34"/>
      <c r="B29" s="33" t="s">
        <v>244</v>
      </c>
      <c r="C29" s="38">
        <f>'7.Balance Sheet'!B24*12%</f>
        <v>343012.38997370296</v>
      </c>
      <c r="D29" s="38">
        <f>'7.Balance Sheet'!C24*12%</f>
        <v>556151.1769722288</v>
      </c>
      <c r="E29" s="38">
        <f>'7.Balance Sheet'!D24*12%</f>
        <v>659736.77944666159</v>
      </c>
      <c r="F29" s="38">
        <f>'7.Balance Sheet'!E24*12%</f>
        <v>772290.56422610744</v>
      </c>
      <c r="G29" s="38">
        <f>'7.Balance Sheet'!F24*12%</f>
        <v>894450.3855348808</v>
      </c>
      <c r="H29" s="38">
        <f>'7.Balance Sheet'!G24*12%</f>
        <v>1026895.4625639664</v>
      </c>
      <c r="I29" s="38">
        <f>'7.Balance Sheet'!H24*12%</f>
        <v>1170348.9213321239</v>
      </c>
    </row>
    <row r="30" spans="1:9">
      <c r="A30" s="29">
        <v>4</v>
      </c>
      <c r="B30" s="29" t="s">
        <v>245</v>
      </c>
      <c r="C30" s="30">
        <f>'6.Cons Profit &amp; Loss'!B50</f>
        <v>-91623.619330078363</v>
      </c>
      <c r="D30" s="30">
        <f>'6.Cons Profit &amp; Loss'!C50</f>
        <v>168101.93468168133</v>
      </c>
      <c r="E30" s="30">
        <f>'6.Cons Profit &amp; Loss'!D50</f>
        <v>598853.11152035883</v>
      </c>
      <c r="F30" s="30">
        <f>'6.Cons Profit &amp; Loss'!E50</f>
        <v>1051344.1185372283</v>
      </c>
      <c r="G30" s="30">
        <f>'6.Cons Profit &amp; Loss'!F50</f>
        <v>1530211.2500244908</v>
      </c>
      <c r="H30" s="30">
        <f>'6.Cons Profit &amp; Loss'!G50</f>
        <v>2072615.3732589365</v>
      </c>
      <c r="I30" s="30">
        <f>'6.Cons Profit &amp; Loss'!H50</f>
        <v>2617339.3653136943</v>
      </c>
    </row>
    <row r="31" spans="1:9">
      <c r="A31" s="29"/>
      <c r="B31" s="33" t="s">
        <v>746</v>
      </c>
      <c r="C31" s="30">
        <f>'7.Balance Sheet'!B9</f>
        <v>2961446.7071671234</v>
      </c>
      <c r="D31" s="30">
        <f>'7.Balance Sheet'!C9-'7.Balance Sheet'!B9</f>
        <v>709488.52369413711</v>
      </c>
      <c r="E31" s="30">
        <f>'7.Balance Sheet'!D9-'7.Balance Sheet'!C9</f>
        <v>687568.01926196739</v>
      </c>
      <c r="F31" s="30">
        <f>'7.Balance Sheet'!E9-'7.Balance Sheet'!D9</f>
        <v>747147.4831110118</v>
      </c>
      <c r="G31" s="30">
        <f>'7.Balance Sheet'!F9-'7.Balance Sheet'!E9</f>
        <v>810965.97329680342</v>
      </c>
      <c r="H31" s="30">
        <f>'7.Balance Sheet'!G9-'7.Balance Sheet'!F9</f>
        <v>879298.44379339926</v>
      </c>
      <c r="I31" s="30">
        <f>'7.Balance Sheet'!H9-'7.Balance Sheet'!G9</f>
        <v>952436.74640641361</v>
      </c>
    </row>
    <row r="32" spans="1:9">
      <c r="A32" s="29"/>
      <c r="B32" s="33" t="s">
        <v>747</v>
      </c>
      <c r="C32" s="30">
        <f>'7.Balance Sheet'!B10</f>
        <v>2217186.0345600001</v>
      </c>
      <c r="D32" s="30">
        <f>'7.Balance Sheet'!C10-'7.Balance Sheet'!B10</f>
        <v>451520.75626560021</v>
      </c>
      <c r="E32" s="30">
        <f>'7.Balance Sheet'!D10-'7.Balance Sheet'!C10</f>
        <v>491129.86680575972</v>
      </c>
      <c r="F32" s="30">
        <f>'7.Balance Sheet'!E10-'7.Balance Sheet'!D10</f>
        <v>533571.08650927246</v>
      </c>
      <c r="G32" s="30">
        <f>'7.Balance Sheet'!F10-'7.Balance Sheet'!E10</f>
        <v>579028.60351612139</v>
      </c>
      <c r="H32" s="30">
        <f>'7.Balance Sheet'!G10-'7.Balance Sheet'!F10</f>
        <v>627697.94450738188</v>
      </c>
      <c r="I32" s="30">
        <f>'7.Balance Sheet'!H10-'7.Balance Sheet'!G10</f>
        <v>679786.6480889786</v>
      </c>
    </row>
    <row r="33" spans="1:10">
      <c r="A33" s="29"/>
      <c r="B33" s="29"/>
      <c r="C33" s="30"/>
      <c r="D33" s="30"/>
      <c r="E33" s="30"/>
      <c r="F33" s="30"/>
      <c r="G33" s="30"/>
      <c r="H33" s="30"/>
      <c r="I33" s="30"/>
    </row>
    <row r="34" spans="1:10">
      <c r="A34" s="29"/>
      <c r="B34" s="29" t="s">
        <v>246</v>
      </c>
      <c r="C34" s="39">
        <f>SUM(C16:C32)</f>
        <v>100937522.78410956</v>
      </c>
      <c r="D34" s="39">
        <f t="shared" ref="D34:I34" si="1">SUM(D16:D32)</f>
        <v>94851112.669880122</v>
      </c>
      <c r="E34" s="39">
        <f t="shared" si="1"/>
        <v>111976777.9441089</v>
      </c>
      <c r="F34" s="39">
        <f t="shared" si="1"/>
        <v>130646413.24668485</v>
      </c>
      <c r="G34" s="39">
        <f t="shared" si="1"/>
        <v>150889674.86643991</v>
      </c>
      <c r="H34" s="39">
        <f t="shared" si="1"/>
        <v>172852905.82918289</v>
      </c>
      <c r="I34" s="39">
        <f t="shared" si="1"/>
        <v>196591121.26089033</v>
      </c>
    </row>
    <row r="35" spans="1:10">
      <c r="A35" s="29"/>
      <c r="B35" s="29" t="s">
        <v>247</v>
      </c>
      <c r="C35" s="39">
        <f t="shared" ref="C35:I35" si="2">C13-C34</f>
        <v>2082581.2516175658</v>
      </c>
      <c r="D35" s="39">
        <f t="shared" si="2"/>
        <v>2969234.4661910087</v>
      </c>
      <c r="E35" s="39">
        <f t="shared" si="2"/>
        <v>2834326.1058858186</v>
      </c>
      <c r="F35" s="39">
        <f t="shared" si="2"/>
        <v>3745913.7251138091</v>
      </c>
      <c r="G35" s="39">
        <f t="shared" si="2"/>
        <v>4754969.5592180789</v>
      </c>
      <c r="H35" s="39">
        <f t="shared" si="2"/>
        <v>5833306.9782908559</v>
      </c>
      <c r="I35" s="39">
        <f t="shared" si="2"/>
        <v>7051705.1555166245</v>
      </c>
    </row>
    <row r="36" spans="1:10">
      <c r="A36" s="37"/>
      <c r="B36" s="33" t="s">
        <v>248</v>
      </c>
      <c r="C36" s="33"/>
      <c r="D36" s="40">
        <f t="shared" ref="D36:I36" si="3">C37</f>
        <v>2082581.2516175658</v>
      </c>
      <c r="E36" s="40">
        <f t="shared" si="3"/>
        <v>5051815.7178085744</v>
      </c>
      <c r="F36" s="40">
        <f t="shared" si="3"/>
        <v>7886141.823694393</v>
      </c>
      <c r="G36" s="40">
        <f t="shared" si="3"/>
        <v>11632055.548808202</v>
      </c>
      <c r="H36" s="40">
        <f t="shared" si="3"/>
        <v>16387025.108026281</v>
      </c>
      <c r="I36" s="40">
        <f t="shared" si="3"/>
        <v>22220332.086317137</v>
      </c>
    </row>
    <row r="37" spans="1:10">
      <c r="A37" s="29"/>
      <c r="B37" s="41" t="s">
        <v>249</v>
      </c>
      <c r="C37" s="39">
        <f t="shared" ref="C37:I37" si="4">C35+C36</f>
        <v>2082581.2516175658</v>
      </c>
      <c r="D37" s="39">
        <f t="shared" si="4"/>
        <v>5051815.7178085744</v>
      </c>
      <c r="E37" s="39">
        <f t="shared" si="4"/>
        <v>7886141.823694393</v>
      </c>
      <c r="F37" s="39">
        <f t="shared" si="4"/>
        <v>11632055.548808202</v>
      </c>
      <c r="G37" s="39">
        <f t="shared" si="4"/>
        <v>16387025.108026281</v>
      </c>
      <c r="H37" s="39">
        <f t="shared" si="4"/>
        <v>22220332.086317137</v>
      </c>
      <c r="I37" s="39">
        <f t="shared" si="4"/>
        <v>29272037.241833761</v>
      </c>
    </row>
    <row r="39" spans="1:10" ht="40.15" customHeight="1">
      <c r="A39" s="414" t="s">
        <v>404</v>
      </c>
      <c r="B39" s="414"/>
      <c r="C39" s="414"/>
      <c r="D39" s="414"/>
      <c r="E39" s="414"/>
      <c r="F39" s="414"/>
      <c r="G39" s="414"/>
      <c r="H39" s="414"/>
      <c r="I39" s="414"/>
      <c r="J39" s="414"/>
    </row>
    <row r="41" spans="1:10">
      <c r="C41" s="49"/>
    </row>
    <row r="42" spans="1:10">
      <c r="C42" s="49"/>
    </row>
    <row r="43" spans="1:10">
      <c r="C43" s="49"/>
    </row>
    <row r="44" spans="1:10">
      <c r="C44" s="49"/>
    </row>
    <row r="45" spans="1:10">
      <c r="C45" s="49"/>
    </row>
  </sheetData>
  <mergeCells count="4">
    <mergeCell ref="A1:G1"/>
    <mergeCell ref="A14:B14"/>
    <mergeCell ref="A2:I2"/>
    <mergeCell ref="A39:J39"/>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2022-11-29T08:58:58Z</dcterms:modified>
</cp:coreProperties>
</file>